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0" yWindow="0" windowWidth="20730" windowHeight="10815" tabRatio="630"/>
  </bookViews>
  <sheets>
    <sheet name="Activity budget  D" sheetId="43" r:id="rId1"/>
    <sheet name="Budget 2018-Summary" sheetId="44" r:id="rId2"/>
    <sheet name="Annex 2" sheetId="28" r:id="rId3"/>
  </sheets>
  <definedNames>
    <definedName name="_xlnm.Print_Titles" localSheetId="0">'Activity budget  D'!$1:$2</definedName>
    <definedName name="_xlnm.Print_Area" localSheetId="0">'Activity budget  D'!$A$1:$K$360</definedName>
    <definedName name="_xlnm.Print_Area" localSheetId="2">'Annex 2'!$A$3:$P$52</definedName>
    <definedName name="_xlnm.Print_Area" localSheetId="1">'Budget 2018-Summary'!$N$5:$W$36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" i="44" l="1"/>
  <c r="I7" i="44"/>
  <c r="M50" i="28" l="1"/>
  <c r="M49" i="28"/>
  <c r="M44" i="28"/>
  <c r="M43" i="28"/>
  <c r="M29" i="28"/>
  <c r="M28" i="28"/>
  <c r="N28" i="28" s="1"/>
  <c r="M27" i="28"/>
  <c r="N27" i="28" s="1"/>
  <c r="M25" i="28"/>
  <c r="N25" i="28" s="1"/>
  <c r="M22" i="28"/>
  <c r="N22" i="28" s="1"/>
  <c r="M16" i="28"/>
  <c r="N16" i="28" s="1"/>
  <c r="M10" i="28"/>
  <c r="N10" i="28" s="1"/>
  <c r="M7" i="28"/>
  <c r="N7" i="28" s="1"/>
  <c r="N29" i="28"/>
  <c r="N26" i="28"/>
  <c r="N24" i="28"/>
  <c r="N23" i="28"/>
  <c r="R13" i="44" l="1"/>
  <c r="S11" i="44"/>
  <c r="S9" i="44"/>
  <c r="G7" i="44"/>
  <c r="H20" i="44"/>
  <c r="H19" i="44"/>
  <c r="H18" i="44"/>
  <c r="H17" i="44"/>
  <c r="H16" i="44"/>
  <c r="G11" i="44"/>
  <c r="G13" i="44"/>
  <c r="G21" i="44"/>
  <c r="G31" i="44"/>
  <c r="G33" i="44"/>
  <c r="R7" i="44" l="1"/>
  <c r="G15" i="44"/>
  <c r="G351" i="43" l="1"/>
  <c r="G29" i="44" s="1"/>
  <c r="F288" i="43" l="1"/>
  <c r="F146" i="43"/>
  <c r="H171" i="43"/>
  <c r="M14" i="28" l="1"/>
  <c r="N14" i="28" s="1"/>
  <c r="M11" i="28"/>
  <c r="N11" i="28" s="1"/>
  <c r="V13" i="44" l="1"/>
  <c r="V15" i="44"/>
  <c r="W11" i="44"/>
  <c r="W9" i="44"/>
  <c r="L20" i="44"/>
  <c r="L19" i="44"/>
  <c r="L18" i="44"/>
  <c r="L17" i="44"/>
  <c r="L33" i="44"/>
  <c r="L31" i="44"/>
  <c r="L29" i="44"/>
  <c r="L21" i="44"/>
  <c r="F17" i="43"/>
  <c r="V7" i="44" l="1"/>
  <c r="V25" i="44" s="1"/>
  <c r="H289" i="43"/>
  <c r="V35" i="44" l="1"/>
  <c r="H144" i="43" l="1"/>
  <c r="H293" i="43"/>
  <c r="H229" i="43" l="1"/>
  <c r="H181" i="43"/>
  <c r="I172" i="43" l="1"/>
  <c r="I37" i="43"/>
  <c r="H180" i="43" l="1"/>
  <c r="H128" i="43"/>
  <c r="H96" i="43"/>
  <c r="H50" i="43" l="1"/>
  <c r="S4" i="28" l="1"/>
  <c r="F19" i="44"/>
  <c r="S7" i="28"/>
  <c r="H351" i="43"/>
  <c r="J52" i="43" l="1"/>
  <c r="J98" i="43"/>
  <c r="J111" i="43"/>
  <c r="J130" i="43"/>
  <c r="J163" i="43"/>
  <c r="J173" i="43"/>
  <c r="J183" i="43"/>
  <c r="J240" i="43"/>
  <c r="J256" i="43"/>
  <c r="J266" i="43"/>
  <c r="J283" i="43"/>
  <c r="J294" i="43"/>
  <c r="J300" i="43"/>
  <c r="D16" i="43" l="1"/>
  <c r="J38" i="43" l="1"/>
  <c r="J324" i="43"/>
  <c r="G16" i="43" l="1"/>
  <c r="R15" i="44" s="1"/>
  <c r="R25" i="44" s="1"/>
  <c r="I16" i="43"/>
  <c r="R35" i="44" l="1"/>
  <c r="I31" i="44"/>
  <c r="T15" i="44"/>
  <c r="P15" i="44"/>
  <c r="K5" i="28" l="1"/>
  <c r="S22" i="28" l="1"/>
  <c r="Q4" i="28" l="1"/>
  <c r="K4" i="28"/>
  <c r="T22" i="28"/>
  <c r="S25" i="28"/>
  <c r="T25" i="28" s="1"/>
  <c r="S28" i="28"/>
  <c r="T28" i="28" s="1"/>
  <c r="T26" i="28"/>
  <c r="T24" i="28"/>
  <c r="T23" i="28"/>
  <c r="T13" i="28"/>
  <c r="T9" i="28"/>
  <c r="T6" i="28"/>
  <c r="F300" i="43" l="1"/>
  <c r="L23" i="44" s="1"/>
  <c r="M12" i="28"/>
  <c r="N12" i="28" s="1"/>
  <c r="I11" i="44" l="1"/>
  <c r="Q50" i="28" l="1"/>
  <c r="Q49" i="28"/>
  <c r="Q44" i="28"/>
  <c r="Q43" i="28"/>
  <c r="R23" i="28"/>
  <c r="R24" i="28"/>
  <c r="R26" i="28"/>
  <c r="R6" i="28"/>
  <c r="R9" i="28"/>
  <c r="R13" i="28"/>
  <c r="Q29" i="28"/>
  <c r="R29" i="28" s="1"/>
  <c r="Q28" i="28"/>
  <c r="R28" i="28" s="1"/>
  <c r="Q27" i="28"/>
  <c r="R27" i="28" s="1"/>
  <c r="Q25" i="28"/>
  <c r="R25" i="28" s="1"/>
  <c r="Q22" i="28"/>
  <c r="R22" i="28" s="1"/>
  <c r="Q21" i="28"/>
  <c r="R21" i="28" s="1"/>
  <c r="Q16" i="28"/>
  <c r="R16" i="28" s="1"/>
  <c r="Q15" i="28"/>
  <c r="R15" i="28" s="1"/>
  <c r="Q14" i="28"/>
  <c r="R14" i="28" s="1"/>
  <c r="Q12" i="28"/>
  <c r="R12" i="28" s="1"/>
  <c r="Q11" i="28"/>
  <c r="R11" i="28" s="1"/>
  <c r="Q10" i="28"/>
  <c r="R10" i="28" s="1"/>
  <c r="Q7" i="28"/>
  <c r="R7" i="28" s="1"/>
  <c r="K44" i="28"/>
  <c r="K43" i="28"/>
  <c r="K50" i="28"/>
  <c r="K49" i="28"/>
  <c r="L23" i="28"/>
  <c r="L24" i="28"/>
  <c r="L26" i="28"/>
  <c r="L6" i="28"/>
  <c r="L9" i="28"/>
  <c r="L13" i="28"/>
  <c r="K28" i="28"/>
  <c r="L28" i="28" s="1"/>
  <c r="K27" i="28"/>
  <c r="L27" i="28" s="1"/>
  <c r="K25" i="28"/>
  <c r="L25" i="28" s="1"/>
  <c r="K22" i="28"/>
  <c r="L22" i="28" s="1"/>
  <c r="K21" i="28"/>
  <c r="K16" i="28"/>
  <c r="L16" i="28" s="1"/>
  <c r="K15" i="28"/>
  <c r="L15" i="28" s="1"/>
  <c r="K14" i="28"/>
  <c r="L14" i="28" s="1"/>
  <c r="K12" i="28"/>
  <c r="L12" i="28" s="1"/>
  <c r="K11" i="28"/>
  <c r="L11" i="28" s="1"/>
  <c r="K10" i="28"/>
  <c r="L10" i="28" s="1"/>
  <c r="K8" i="28"/>
  <c r="L8" i="28" s="1"/>
  <c r="K7" i="28"/>
  <c r="L5" i="28"/>
  <c r="L4" i="28"/>
  <c r="R4" i="28" l="1"/>
  <c r="Q36" i="28"/>
  <c r="R36" i="28" s="1"/>
  <c r="K36" i="28"/>
  <c r="K18" i="28"/>
  <c r="L21" i="28"/>
  <c r="L7" i="28"/>
  <c r="L18" i="28" s="1"/>
  <c r="I351" i="43"/>
  <c r="I9" i="43"/>
  <c r="I10" i="43"/>
  <c r="I117" i="43"/>
  <c r="I118" i="43"/>
  <c r="I119" i="43"/>
  <c r="I192" i="43"/>
  <c r="I208" i="43"/>
  <c r="I239" i="43"/>
  <c r="S11" i="28"/>
  <c r="T11" i="28" s="1"/>
  <c r="O22" i="28"/>
  <c r="S29" i="28" l="1"/>
  <c r="T29" i="28" s="1"/>
  <c r="S50" i="28"/>
  <c r="S44" i="28"/>
  <c r="T7" i="28"/>
  <c r="S49" i="28"/>
  <c r="S43" i="28"/>
  <c r="I17" i="43"/>
  <c r="K42" i="28"/>
  <c r="L36" i="28"/>
  <c r="K45" i="28" l="1"/>
  <c r="L42" i="28" s="1"/>
  <c r="L43" i="28" l="1"/>
  <c r="L44" i="28"/>
  <c r="S27" i="28"/>
  <c r="T27" i="28" s="1"/>
  <c r="P13" i="44" l="1"/>
  <c r="F18" i="44"/>
  <c r="E33" i="44"/>
  <c r="T13" i="44" l="1"/>
  <c r="U11" i="44"/>
  <c r="U9" i="44"/>
  <c r="I33" i="44"/>
  <c r="I21" i="44"/>
  <c r="J20" i="44"/>
  <c r="J19" i="44"/>
  <c r="J18" i="44"/>
  <c r="J17" i="44"/>
  <c r="J16" i="44"/>
  <c r="I13" i="44"/>
  <c r="D351" i="43"/>
  <c r="D324" i="43"/>
  <c r="D300" i="43"/>
  <c r="D294" i="43"/>
  <c r="D283" i="43"/>
  <c r="D266" i="43"/>
  <c r="D256" i="43"/>
  <c r="D240" i="43"/>
  <c r="D209" i="43"/>
  <c r="D183" i="43"/>
  <c r="D173" i="43"/>
  <c r="D163" i="43"/>
  <c r="D130" i="43"/>
  <c r="D111" i="43"/>
  <c r="D98" i="43"/>
  <c r="D85" i="43"/>
  <c r="D52" i="43"/>
  <c r="D38" i="43"/>
  <c r="D17" i="43"/>
  <c r="I23" i="44" l="1"/>
  <c r="I29" i="44"/>
  <c r="K29" i="28"/>
  <c r="T7" i="44"/>
  <c r="T25" i="44" s="1"/>
  <c r="I15" i="44"/>
  <c r="D349" i="43"/>
  <c r="T35" i="44" l="1"/>
  <c r="I25" i="44"/>
  <c r="I27" i="44" s="1"/>
  <c r="I35" i="44" s="1"/>
  <c r="D360" i="43"/>
  <c r="K30" i="28" s="1"/>
  <c r="L29" i="28"/>
  <c r="L30" i="28" l="1"/>
  <c r="L32" i="28" s="1"/>
  <c r="L34" i="28" s="1"/>
  <c r="K32" i="28"/>
  <c r="K34" i="28" s="1"/>
  <c r="K48" i="28" s="1"/>
  <c r="K51" i="28" s="1"/>
  <c r="L49" i="28" l="1"/>
  <c r="L50" i="28"/>
  <c r="L48" i="28"/>
  <c r="Q9" i="44" l="1"/>
  <c r="Q11" i="44"/>
  <c r="S12" i="28" l="1"/>
  <c r="T12" i="28" s="1"/>
  <c r="S10" i="28"/>
  <c r="T10" i="28" s="1"/>
  <c r="S16" i="28" l="1"/>
  <c r="T16" i="28" s="1"/>
  <c r="S14" i="28"/>
  <c r="T14" i="28" s="1"/>
  <c r="F17" i="44"/>
  <c r="F20" i="44"/>
  <c r="I300" i="43"/>
  <c r="M15" i="28" l="1"/>
  <c r="N15" i="28" s="1"/>
  <c r="E13" i="44"/>
  <c r="L13" i="44"/>
  <c r="E21" i="44"/>
  <c r="B16" i="43"/>
  <c r="B351" i="43" l="1"/>
  <c r="B324" i="43"/>
  <c r="B300" i="43"/>
  <c r="B294" i="43"/>
  <c r="B283" i="43"/>
  <c r="B266" i="43"/>
  <c r="B256" i="43"/>
  <c r="B240" i="43"/>
  <c r="B209" i="43"/>
  <c r="B183" i="43"/>
  <c r="B173" i="43"/>
  <c r="B163" i="43"/>
  <c r="B130" i="43"/>
  <c r="B111" i="43"/>
  <c r="B98" i="43"/>
  <c r="B85" i="43"/>
  <c r="B52" i="43"/>
  <c r="B38" i="43"/>
  <c r="B17" i="43"/>
  <c r="B349" i="43" l="1"/>
  <c r="B360" i="43" s="1"/>
  <c r="Q5" i="28" l="1"/>
  <c r="R5" i="28" s="1"/>
  <c r="Q8" i="28" l="1"/>
  <c r="R8" i="28" l="1"/>
  <c r="R18" i="28" s="1"/>
  <c r="Q18" i="28"/>
  <c r="Q42" i="28" s="1"/>
  <c r="Q45" i="28" l="1"/>
  <c r="R42" i="28" s="1"/>
  <c r="E23" i="44"/>
  <c r="C351" i="43"/>
  <c r="E294" i="43"/>
  <c r="E163" i="43"/>
  <c r="E111" i="43"/>
  <c r="E52" i="43"/>
  <c r="E38" i="43"/>
  <c r="E351" i="43"/>
  <c r="E324" i="43"/>
  <c r="E300" i="43"/>
  <c r="E283" i="43"/>
  <c r="E266" i="43"/>
  <c r="E256" i="43"/>
  <c r="E240" i="43"/>
  <c r="E130" i="43"/>
  <c r="E209" i="43"/>
  <c r="E183" i="43"/>
  <c r="E173" i="43"/>
  <c r="E98" i="43"/>
  <c r="E85" i="43"/>
  <c r="E17" i="43"/>
  <c r="E349" i="43" l="1"/>
  <c r="E360" i="43" s="1"/>
  <c r="R43" i="28"/>
  <c r="R44" i="28"/>
  <c r="E29" i="44"/>
  <c r="R45" i="28" l="1"/>
  <c r="F16" i="44" l="1"/>
  <c r="S21" i="28"/>
  <c r="T21" i="28" s="1"/>
  <c r="T4" i="28" l="1"/>
  <c r="O49" i="28" l="1"/>
  <c r="O43" i="28" l="1"/>
  <c r="C324" i="43" l="1"/>
  <c r="C300" i="43"/>
  <c r="C294" i="43"/>
  <c r="C283" i="43"/>
  <c r="C266" i="43"/>
  <c r="C256" i="43"/>
  <c r="C240" i="43"/>
  <c r="C209" i="43"/>
  <c r="C183" i="43"/>
  <c r="C173" i="43"/>
  <c r="C163" i="43"/>
  <c r="C130" i="43"/>
  <c r="C111" i="43"/>
  <c r="C98" i="43"/>
  <c r="C85" i="43"/>
  <c r="C52" i="43"/>
  <c r="C38" i="43"/>
  <c r="C17" i="43"/>
  <c r="C349" i="43" l="1"/>
  <c r="C360" i="43" s="1"/>
  <c r="I8" i="28"/>
  <c r="P7" i="44" l="1"/>
  <c r="P25" i="44" s="1"/>
  <c r="O50" i="28"/>
  <c r="O44" i="28"/>
  <c r="P35" i="44" l="1"/>
  <c r="P23" i="28"/>
  <c r="P24" i="28"/>
  <c r="P26" i="28"/>
  <c r="O29" i="28"/>
  <c r="P29" i="28" s="1"/>
  <c r="O28" i="28"/>
  <c r="P28" i="28" s="1"/>
  <c r="O27" i="28"/>
  <c r="P27" i="28" s="1"/>
  <c r="O25" i="28"/>
  <c r="P25" i="28" s="1"/>
  <c r="P22" i="28"/>
  <c r="O12" i="28"/>
  <c r="P12" i="28" s="1"/>
  <c r="O11" i="28"/>
  <c r="P11" i="28" s="1"/>
  <c r="O10" i="28"/>
  <c r="P10" i="28" s="1"/>
  <c r="I28" i="28"/>
  <c r="I27" i="28"/>
  <c r="I25" i="28"/>
  <c r="I22" i="28"/>
  <c r="I21" i="28"/>
  <c r="I16" i="28"/>
  <c r="J16" i="28" s="1"/>
  <c r="I14" i="28"/>
  <c r="J14" i="28" s="1"/>
  <c r="I12" i="28"/>
  <c r="J12" i="28" s="1"/>
  <c r="I11" i="28"/>
  <c r="J11" i="28" s="1"/>
  <c r="I10" i="28"/>
  <c r="J10" i="28" s="1"/>
  <c r="J8" i="28"/>
  <c r="I7" i="28"/>
  <c r="J7" i="28" s="1"/>
  <c r="I5" i="28"/>
  <c r="J5" i="28" s="1"/>
  <c r="I4" i="28"/>
  <c r="J4" i="28" l="1"/>
  <c r="S15" i="28" l="1"/>
  <c r="T15" i="28" l="1"/>
  <c r="S36" i="28"/>
  <c r="T36" i="28" s="1"/>
  <c r="I220" i="43" l="1"/>
  <c r="O16" i="28" l="1"/>
  <c r="P16" i="28" s="1"/>
  <c r="I324" i="43" l="1"/>
  <c r="F324" i="43"/>
  <c r="K347" i="43" l="1"/>
  <c r="K324" i="43"/>
  <c r="K294" i="43"/>
  <c r="K300" i="43"/>
  <c r="K283" i="43"/>
  <c r="K266" i="43" l="1"/>
  <c r="K256" i="43"/>
  <c r="K240" i="43"/>
  <c r="K209" i="43"/>
  <c r="K183" i="43"/>
  <c r="K173" i="43"/>
  <c r="K163" i="43"/>
  <c r="K130" i="43"/>
  <c r="K111" i="43"/>
  <c r="K98" i="43"/>
  <c r="K85" i="43"/>
  <c r="K52" i="43"/>
  <c r="K38" i="43"/>
  <c r="K349" i="43" l="1"/>
  <c r="K17" i="43" l="1"/>
  <c r="K360" i="43" s="1"/>
  <c r="G300" i="43" l="1"/>
  <c r="G23" i="44" l="1"/>
  <c r="H98" i="43" l="1"/>
  <c r="G17" i="43" l="1"/>
  <c r="I15" i="28" l="1"/>
  <c r="J15" i="28" l="1"/>
  <c r="I18" i="28"/>
  <c r="H17" i="43" l="1"/>
  <c r="H294" i="43"/>
  <c r="H300" i="43"/>
  <c r="I29" i="28" l="1"/>
  <c r="H209" i="43" l="1"/>
  <c r="O15" i="28" l="1"/>
  <c r="P15" i="28" s="1"/>
  <c r="H283" i="43" l="1"/>
  <c r="J32" i="28" l="1"/>
  <c r="H18" i="28" l="1"/>
  <c r="B42" i="28" s="1"/>
  <c r="B45" i="28" s="1"/>
  <c r="H32" i="28"/>
  <c r="H324" i="43" l="1"/>
  <c r="H34" i="28"/>
  <c r="B48" i="28" s="1"/>
  <c r="B51" i="28" s="1"/>
  <c r="C48" i="28" s="1"/>
  <c r="C44" i="28"/>
  <c r="C43" i="28"/>
  <c r="C42" i="28"/>
  <c r="C45" i="28" l="1"/>
  <c r="C50" i="28"/>
  <c r="C49" i="28"/>
  <c r="C51" i="28" l="1"/>
  <c r="D32" i="28"/>
  <c r="D18" i="28"/>
  <c r="E32" i="28" l="1"/>
  <c r="E18" i="28"/>
  <c r="E34" i="28" l="1"/>
  <c r="G28" i="28" l="1"/>
  <c r="G25" i="28"/>
  <c r="G22" i="28"/>
  <c r="G27" i="28" l="1"/>
  <c r="G10" i="28"/>
  <c r="F32" i="28"/>
  <c r="G29" i="28"/>
  <c r="G9" i="44" l="1"/>
  <c r="G25" i="44" s="1"/>
  <c r="G27" i="44" s="1"/>
  <c r="G35" i="44" s="1"/>
  <c r="G12" i="28"/>
  <c r="O14" i="28" l="1"/>
  <c r="P14" i="28" s="1"/>
  <c r="G14" i="28"/>
  <c r="G11" i="28" l="1"/>
  <c r="F26" i="28" l="1"/>
  <c r="F23" i="28"/>
  <c r="F9" i="28"/>
  <c r="F6" i="28" l="1"/>
  <c r="F18" i="28" s="1"/>
  <c r="F34" i="28" s="1"/>
  <c r="M21" i="28" l="1"/>
  <c r="F266" i="43"/>
  <c r="G324" i="43"/>
  <c r="N21" i="28" l="1"/>
  <c r="I283" i="43"/>
  <c r="F283" i="43"/>
  <c r="F294" i="43"/>
  <c r="G283" i="43"/>
  <c r="O21" i="28"/>
  <c r="P21" i="28" s="1"/>
  <c r="I266" i="43"/>
  <c r="M4" i="28" l="1"/>
  <c r="L16" i="44"/>
  <c r="O4" i="28"/>
  <c r="G294" i="43"/>
  <c r="G266" i="43"/>
  <c r="H266" i="43"/>
  <c r="N4" i="28" l="1"/>
  <c r="M36" i="28"/>
  <c r="P4" i="28"/>
  <c r="G15" i="28"/>
  <c r="B18" i="28"/>
  <c r="C18" i="28"/>
  <c r="B32" i="28"/>
  <c r="C32" i="28"/>
  <c r="G16" i="28" l="1"/>
  <c r="B34" i="28"/>
  <c r="C34" i="28"/>
  <c r="J85" i="43"/>
  <c r="D34" i="28"/>
  <c r="I256" i="43" l="1"/>
  <c r="J209" i="43"/>
  <c r="J349" i="43" s="1"/>
  <c r="G256" i="43"/>
  <c r="F256" i="43" l="1"/>
  <c r="F85" i="43"/>
  <c r="F98" i="43"/>
  <c r="F111" i="43"/>
  <c r="F240" i="43"/>
  <c r="I111" i="43"/>
  <c r="G111" i="43"/>
  <c r="H183" i="43"/>
  <c r="H173" i="43"/>
  <c r="M5" i="28" l="1"/>
  <c r="N5" i="28" s="1"/>
  <c r="F52" i="43"/>
  <c r="S8" i="28"/>
  <c r="F183" i="43"/>
  <c r="F130" i="43"/>
  <c r="F38" i="43"/>
  <c r="L9" i="44"/>
  <c r="F163" i="43"/>
  <c r="F209" i="43"/>
  <c r="E9" i="44"/>
  <c r="G173" i="43"/>
  <c r="O5" i="28"/>
  <c r="I52" i="43"/>
  <c r="I130" i="43"/>
  <c r="O7" i="28"/>
  <c r="G98" i="43"/>
  <c r="G52" i="43"/>
  <c r="G240" i="43"/>
  <c r="G130" i="43"/>
  <c r="I183" i="43"/>
  <c r="H163" i="43"/>
  <c r="H240" i="43"/>
  <c r="H111" i="43"/>
  <c r="G7" i="28"/>
  <c r="M8" i="28" l="1"/>
  <c r="F173" i="43"/>
  <c r="F349" i="43" s="1"/>
  <c r="F360" i="43" s="1"/>
  <c r="M30" i="28" s="1"/>
  <c r="L11" i="44"/>
  <c r="L7" i="44"/>
  <c r="E11" i="44"/>
  <c r="I240" i="43"/>
  <c r="E15" i="44"/>
  <c r="E38" i="44" s="1"/>
  <c r="G209" i="43"/>
  <c r="I85" i="43"/>
  <c r="P7" i="28"/>
  <c r="O36" i="28"/>
  <c r="G183" i="43"/>
  <c r="G38" i="43"/>
  <c r="O8" i="28"/>
  <c r="P8" i="28" s="1"/>
  <c r="G85" i="43"/>
  <c r="H85" i="43"/>
  <c r="H256" i="43"/>
  <c r="H52" i="43"/>
  <c r="G8" i="28"/>
  <c r="N8" i="28" l="1"/>
  <c r="N18" i="28" s="1"/>
  <c r="M18" i="28"/>
  <c r="N30" i="28"/>
  <c r="N32" i="28" s="1"/>
  <c r="M32" i="28"/>
  <c r="L25" i="44"/>
  <c r="L27" i="44" s="1"/>
  <c r="L35" i="44" s="1"/>
  <c r="S5" i="28"/>
  <c r="T5" i="28" s="1"/>
  <c r="E7" i="44"/>
  <c r="I209" i="43"/>
  <c r="H349" i="43"/>
  <c r="M34" i="28" l="1"/>
  <c r="M48" i="28" s="1"/>
  <c r="M42" i="28"/>
  <c r="N34" i="28"/>
  <c r="T8" i="28"/>
  <c r="T18" i="28" s="1"/>
  <c r="S18" i="28"/>
  <c r="S42" i="28" s="1"/>
  <c r="I163" i="43"/>
  <c r="H360" i="43"/>
  <c r="Q30" i="28" s="1"/>
  <c r="G163" i="43"/>
  <c r="G349" i="43" s="1"/>
  <c r="P5" i="28"/>
  <c r="M45" i="28" l="1"/>
  <c r="M51" i="28"/>
  <c r="S45" i="28"/>
  <c r="T42" i="28" s="1"/>
  <c r="I349" i="43"/>
  <c r="I360" i="43" s="1"/>
  <c r="J360" i="43" s="1"/>
  <c r="I30" i="28"/>
  <c r="I36" i="28" s="1"/>
  <c r="E25" i="44"/>
  <c r="G360" i="43"/>
  <c r="O18" i="28"/>
  <c r="O42" i="28" s="1"/>
  <c r="O45" i="28" s="1"/>
  <c r="N44" i="28" l="1"/>
  <c r="N43" i="28"/>
  <c r="N42" i="28"/>
  <c r="S30" i="28"/>
  <c r="S32" i="28" s="1"/>
  <c r="S34" i="28" s="1"/>
  <c r="E27" i="44"/>
  <c r="E35" i="44" s="1"/>
  <c r="O30" i="28"/>
  <c r="P30" i="28" s="1"/>
  <c r="P32" i="28" s="1"/>
  <c r="T43" i="28"/>
  <c r="T44" i="28"/>
  <c r="R30" i="28"/>
  <c r="R32" i="28" s="1"/>
  <c r="Q32" i="28"/>
  <c r="Q34" i="28" s="1"/>
  <c r="P44" i="28"/>
  <c r="P43" i="28"/>
  <c r="P42" i="28"/>
  <c r="N45" i="28" l="1"/>
  <c r="T30" i="28"/>
  <c r="T32" i="28" s="1"/>
  <c r="T45" i="28"/>
  <c r="T34" i="28"/>
  <c r="S48" i="28"/>
  <c r="R34" i="28"/>
  <c r="Q48" i="28"/>
  <c r="L45" i="28"/>
  <c r="P45" i="28"/>
  <c r="G4" i="28"/>
  <c r="S51" i="28" l="1"/>
  <c r="Q51" i="28"/>
  <c r="P18" i="28"/>
  <c r="P34" i="28" s="1"/>
  <c r="G21" i="28"/>
  <c r="G36" i="28" s="1"/>
  <c r="T50" i="28" l="1"/>
  <c r="T49" i="28"/>
  <c r="T48" i="28"/>
  <c r="R49" i="28"/>
  <c r="R50" i="28"/>
  <c r="R48" i="28"/>
  <c r="O32" i="28"/>
  <c r="I32" i="28"/>
  <c r="T51" i="28" l="1"/>
  <c r="R51" i="28"/>
  <c r="O34" i="28"/>
  <c r="I34" i="28"/>
  <c r="O48" i="28" l="1"/>
  <c r="O51" i="28" s="1"/>
  <c r="G5" i="28"/>
  <c r="G18" i="28" s="1"/>
  <c r="N50" i="28" l="1"/>
  <c r="N49" i="28"/>
  <c r="N48" i="28"/>
  <c r="P48" i="28"/>
  <c r="P49" i="28"/>
  <c r="P50" i="28"/>
  <c r="G30" i="28"/>
  <c r="G32" i="28" s="1"/>
  <c r="G34" i="28" s="1"/>
  <c r="G19" i="28"/>
  <c r="N51" i="28" l="1"/>
  <c r="L51" i="28"/>
  <c r="P51" i="28"/>
</calcChain>
</file>

<file path=xl/sharedStrings.xml><?xml version="1.0" encoding="utf-8"?>
<sst xmlns="http://schemas.openxmlformats.org/spreadsheetml/2006/main" count="462" uniqueCount="421">
  <si>
    <t>1.1 Membership fees</t>
  </si>
  <si>
    <t>Total Income</t>
  </si>
  <si>
    <t>Total</t>
  </si>
  <si>
    <t>2.1  EA Executive Committee</t>
  </si>
  <si>
    <t>2.1  Total costs EA Executive Commmittee</t>
  </si>
  <si>
    <t>2.2  EA Committees</t>
  </si>
  <si>
    <t>2.2.1  EA Laboratory Committee</t>
  </si>
  <si>
    <t>2.2.1  Total costs Laboratory Committee</t>
  </si>
  <si>
    <t>2.2.2  EA Certification Committee</t>
  </si>
  <si>
    <t>2.2.2  Total costs EA Certification Committee</t>
  </si>
  <si>
    <t>2.2.3  EA Inspection Committee</t>
  </si>
  <si>
    <t>2.2.3  Total costs EA Inspection Committee</t>
  </si>
  <si>
    <t>2.2.5  EA Horizontal Harmonisation Committee</t>
  </si>
  <si>
    <t>2.2.5  Total costs EA Horizontal Harmonisation Committee</t>
  </si>
  <si>
    <t>2.2.6  EA MLA Council</t>
  </si>
  <si>
    <t>2.2.6  Total costs EA MLA Council</t>
  </si>
  <si>
    <t>2.3  EAAB meeting arrangements</t>
  </si>
  <si>
    <t>2.3  Total costs EAAB</t>
  </si>
  <si>
    <t>2.4  EA General Assembly</t>
  </si>
  <si>
    <t>Total Expenditures</t>
  </si>
  <si>
    <t>Profit (+) / loss (-) for the year</t>
  </si>
  <si>
    <t>2.4  Total costs EA General Assembly</t>
  </si>
  <si>
    <t>2.2.4  EA Communication and Publications Committee</t>
  </si>
  <si>
    <t>2.5 Training activities</t>
  </si>
  <si>
    <t>2.5  Total costs Training activities</t>
  </si>
  <si>
    <t>2.6  Liaison activities</t>
  </si>
  <si>
    <t>2.6.4 ILAC and IAF</t>
  </si>
  <si>
    <t>2.6.5. Regional accreditation organisations</t>
  </si>
  <si>
    <t>2.6.6 Third countries</t>
  </si>
  <si>
    <t>2.6.7 Secretariat</t>
  </si>
  <si>
    <t>2.6  Total costs Liaison activities</t>
  </si>
  <si>
    <t>2.7 Management system of EA</t>
  </si>
  <si>
    <t>2.8  IT and communication</t>
  </si>
  <si>
    <t>2.8  Total costs Communications</t>
  </si>
  <si>
    <t>2.9.1 Accounting</t>
  </si>
  <si>
    <t>2.9.2 Financial audit</t>
  </si>
  <si>
    <t>2.9.3 Financial costs</t>
  </si>
  <si>
    <t>2.6.8 Other costs</t>
  </si>
  <si>
    <t>2.10  Secretarial costs</t>
  </si>
  <si>
    <t>2.11.1 Legal advice</t>
  </si>
  <si>
    <t>2.11.3 Other costs</t>
  </si>
  <si>
    <t>2.2.1.3  Secretarial support</t>
  </si>
  <si>
    <t>2.2.3.3  Secretarial support</t>
  </si>
  <si>
    <t>2.2.4.3  Secretarial support</t>
  </si>
  <si>
    <t>2.2.6.4  Secretarial support</t>
  </si>
  <si>
    <t>2.2.6.5.1  Compensation (TLs)</t>
  </si>
  <si>
    <t>2.6.2  Stakeholders</t>
  </si>
  <si>
    <t>2.6.3  Other liaisons</t>
  </si>
  <si>
    <t>2.8.2 EA website</t>
  </si>
  <si>
    <t>2.8.3  Online communications</t>
  </si>
  <si>
    <t>2.8.5 Secretariat labour cost</t>
  </si>
  <si>
    <t>2.8.6  Other costs</t>
  </si>
  <si>
    <t>2.11 Legal costs</t>
  </si>
  <si>
    <t xml:space="preserve">2.8.4  EA brochures </t>
  </si>
  <si>
    <t>2.9 Finance and management of FPA</t>
  </si>
  <si>
    <t>2.2.6.5 Expenditure peer evaluation activities</t>
  </si>
  <si>
    <t>2.10.3  Equipment etc.</t>
  </si>
  <si>
    <t>2.10.4  Rent office space etc.</t>
  </si>
  <si>
    <t>2.10.5  Other secretarial costs</t>
  </si>
  <si>
    <t>2.10  Total costs Secretarial costs</t>
  </si>
  <si>
    <t>Annex 2 to the Operating grant</t>
  </si>
  <si>
    <t>ELIGIBLE COSTS</t>
  </si>
  <si>
    <t>Office consumable and supplies</t>
  </si>
  <si>
    <t>Miscellaneous</t>
  </si>
  <si>
    <t>Transfer to reserves</t>
  </si>
  <si>
    <t>TOTAL ELIGIBLE</t>
  </si>
  <si>
    <t>NON-ELIGIBLE COSTS</t>
  </si>
  <si>
    <t>Insurance</t>
  </si>
  <si>
    <t>Miscellaneous (other costs)</t>
  </si>
  <si>
    <t>TOTAL NON-ELIGIBLE</t>
  </si>
  <si>
    <t>Communications and publications</t>
  </si>
  <si>
    <t>TOTAL EXPENDITURES</t>
  </si>
  <si>
    <t>Budget 2011</t>
  </si>
  <si>
    <t>Office rent and maintenance</t>
  </si>
  <si>
    <t>Accounting and audit costs</t>
  </si>
  <si>
    <t>2.1.1 Meeting arrangement</t>
  </si>
  <si>
    <t>2.8.1  IT infrastructure</t>
  </si>
  <si>
    <t>Budget 2012</t>
  </si>
  <si>
    <t>2.10.6 Other secretarial costs (non eligible)</t>
  </si>
  <si>
    <t>2.2.1.5  Other costs (web meetings)</t>
  </si>
  <si>
    <t>2.1.2 EX members</t>
  </si>
  <si>
    <t>2.1.3 Secretarial support</t>
  </si>
  <si>
    <t>2.1.5 ILAC/IAF peer evaluation of EA</t>
  </si>
  <si>
    <t>2.1.6  Other costs (web meetings)</t>
  </si>
  <si>
    <t>2.2.1.1  LC Chair</t>
  </si>
  <si>
    <t>2.2.3.1  IC Chair</t>
  </si>
  <si>
    <t>2.2.5.6 Secretarial support</t>
  </si>
  <si>
    <t>2.2.5.7  Other costs (web meetings)</t>
  </si>
  <si>
    <t>2.2.6.1  MAC Chair</t>
  </si>
  <si>
    <t>2.2.6.3 WG Training  convenor</t>
  </si>
  <si>
    <t>2.2.6.5.2 Compensation (TMs)</t>
  </si>
  <si>
    <t>2.3.1  EA Chair &amp; Vice-Chair</t>
  </si>
  <si>
    <t>2.3.2  Secretarial Support</t>
  </si>
  <si>
    <t>2.3.3 Other costs (web meetings)</t>
  </si>
  <si>
    <t>2.4.1 EA Chair &amp; Vice-Chair</t>
  </si>
  <si>
    <t>2.7.1 EA Quality Manager</t>
  </si>
  <si>
    <t>2.7.3 EA internal auditors</t>
  </si>
  <si>
    <t xml:space="preserve">2.7.2 MAC Chair </t>
  </si>
  <si>
    <t>2.9.4 EA Treasurer</t>
  </si>
  <si>
    <t>2.9.5 FOC</t>
  </si>
  <si>
    <t>Staff costs - EA Secretariat</t>
  </si>
  <si>
    <t>Staff costs - EA members</t>
  </si>
  <si>
    <t>Total staff costs</t>
  </si>
  <si>
    <t>Travel and subsistence - EA Secretariat</t>
  </si>
  <si>
    <t>Travel and subsistence - EA Members</t>
  </si>
  <si>
    <t>Total Travel and subsistence costs</t>
  </si>
  <si>
    <t>Staff costs miscellaneous - EA Secretariat</t>
  </si>
  <si>
    <t>Staff costs miscellaneous - EA Members</t>
  </si>
  <si>
    <t>Total Staff costs miscellaneous</t>
  </si>
  <si>
    <t>Total Travel and subsistence</t>
  </si>
  <si>
    <t>1.   INCOME</t>
  </si>
  <si>
    <t>2.  EXPENDITURES</t>
  </si>
  <si>
    <t>Transfer to reserves from membership fee to meet EA Reserves Policy</t>
  </si>
  <si>
    <t>Legal advice and consultants</t>
  </si>
  <si>
    <t>2.7 Total costs Management system</t>
  </si>
  <si>
    <t>2.9 Total costs Finances</t>
  </si>
  <si>
    <t>2.11 Total costs Legal costs</t>
  </si>
  <si>
    <t>2.12 Technical and peer evaluation activities</t>
  </si>
  <si>
    <t>2.12 Total costs Technical and peer evaluation activites</t>
  </si>
  <si>
    <t>1.1.1 Regular membership fee</t>
  </si>
  <si>
    <t>1.2 Operating grant</t>
  </si>
  <si>
    <t>1.2.2 EFTA Operating grant</t>
  </si>
  <si>
    <t xml:space="preserve">1.2.1 EC Operating grant </t>
  </si>
  <si>
    <t>2.2.6.6 Other costs (web meetings)</t>
  </si>
  <si>
    <t>1.1.3 Additional membership fee for co-finance to the EC Action grant</t>
  </si>
  <si>
    <t>2.6.1.3 Meetings with DG CLIMA</t>
  </si>
  <si>
    <t xml:space="preserve">2.10.8 Travel and accommodation (Executive Secretary to Paris) </t>
  </si>
  <si>
    <t>2.4.2 Secretarial Support</t>
  </si>
  <si>
    <t>2.8.7  IT project</t>
  </si>
  <si>
    <t xml:space="preserve">1.2.1 EC Action grant </t>
  </si>
  <si>
    <t>1.2 Action grant ETS</t>
  </si>
  <si>
    <t>EA contribution to Action Grant</t>
  </si>
  <si>
    <t>2.13 Service contract (RusAccreditation)</t>
  </si>
  <si>
    <t>2.13.1 Compensations</t>
  </si>
  <si>
    <t>2.13.2 Travel and subsistence costs</t>
  </si>
  <si>
    <t>2.13.3 Administration</t>
  </si>
  <si>
    <t>2.13.4 Translation</t>
  </si>
  <si>
    <t>2.13 Total cost Service contract (RusAccreditation)</t>
  </si>
  <si>
    <t>2.5.3 Secretarial support (labour cost)</t>
  </si>
  <si>
    <t>Budget 2015</t>
  </si>
  <si>
    <t xml:space="preserve">2.5.1  Expenditure enhancing the peer evaluation activities </t>
  </si>
  <si>
    <t>2.13.5 Reserve to distribute between consortium members</t>
  </si>
  <si>
    <t>2.2.3.4  Other costs (web meetings)</t>
  </si>
  <si>
    <t>2.2.4.4  Other costs (web meetings)</t>
  </si>
  <si>
    <t>2.2.2.5  Secretarial support</t>
  </si>
  <si>
    <t>2.2.2.7 EU/ETS Network Group</t>
  </si>
  <si>
    <t>2.14 Service Contract (Breast Cancer Services)</t>
  </si>
  <si>
    <t>2.14.1 Compensation of PM, WG, NABs and PSG</t>
  </si>
  <si>
    <t>2.14.3 Meeting arrangements</t>
  </si>
  <si>
    <t>2.14.4 Secretarial labour cost</t>
  </si>
  <si>
    <t>2.14 Total cost Service contract (BCS)</t>
  </si>
  <si>
    <t>Funding from the Operating Grant</t>
  </si>
  <si>
    <t>Funding eligible costs</t>
  </si>
  <si>
    <t>Partner</t>
  </si>
  <si>
    <t>EC</t>
  </si>
  <si>
    <t>EFTA</t>
  </si>
  <si>
    <t>Funding total costs</t>
  </si>
  <si>
    <t>P1</t>
  </si>
  <si>
    <t>P2</t>
  </si>
  <si>
    <t>2.2.6.7.3 Expenditures peer evaluation activities</t>
  </si>
  <si>
    <t>2.2.6.7.3.1.2 Peer evaluators - Compensation</t>
  </si>
  <si>
    <t>2.2.6.7.3.2.2 Peer evaluators - Compensation</t>
  </si>
  <si>
    <t>2.5.1.4.2 Travel and subsistence</t>
  </si>
  <si>
    <t>2.5.1.5 Trainees Action Grant EU/ETS</t>
  </si>
  <si>
    <t>2.5.1.5.2 Travel and subsistence</t>
  </si>
  <si>
    <t>2.5.3.2 Secretarial support (labour cost)</t>
  </si>
  <si>
    <t>2.6.1.3.1 Travel and subsistence (meeting with DG CLIMA and CA)</t>
  </si>
  <si>
    <t>2.6.1.3.2 Travel and subsistence (participation in DG CLIMA TWG meetings)</t>
  </si>
  <si>
    <t>2.12.2 Database for EU/ETS</t>
  </si>
  <si>
    <t>2.12.2.1 Compensation (CPC Chair monitoring)</t>
  </si>
  <si>
    <t>2.12.2.2 Compensation (Convenor)</t>
  </si>
  <si>
    <t>2.12.2.3.1 Compensation (Convenor)</t>
  </si>
  <si>
    <t>2.12.2.3.2 Compensation (Group members)</t>
  </si>
  <si>
    <t>2.12.2.3.3 Travel and subsistence (Convenor)</t>
  </si>
  <si>
    <t>2.12.2.3.4 Travel and subsistence (Group members)</t>
  </si>
  <si>
    <t>2.12.2.4.1 Labour cost</t>
  </si>
  <si>
    <t>1.3 Service Contract (RussAccreditation)</t>
  </si>
  <si>
    <t>1.4 Service Contract (BCS)</t>
  </si>
  <si>
    <t>1.5 Other financial incomes</t>
  </si>
  <si>
    <t>2.1.2.1 Compensation (EX members)</t>
  </si>
  <si>
    <t>2.1.2.2  Travel and subsistence</t>
  </si>
  <si>
    <t>2.1.3.1  Labour cost</t>
  </si>
  <si>
    <t>2.1.3.2  Travel and accommodation</t>
  </si>
  <si>
    <t xml:space="preserve">2.1.4 Task Force Groups </t>
  </si>
  <si>
    <t>2.1.4.1  Compensation (convenors)</t>
  </si>
  <si>
    <t>2.1.4.2 Travel and subsistence (convenors)</t>
  </si>
  <si>
    <t>2.1.5.1 Travel and accommodation (ILAC/IAF peer evaluators)</t>
  </si>
  <si>
    <t>2.1.5.2 EA representatives</t>
  </si>
  <si>
    <t>2.1.5.2.1 Compensation</t>
  </si>
  <si>
    <t>2.1.5.2.2 Travel and subsistence</t>
  </si>
  <si>
    <t xml:space="preserve">2.2.1.1.1  Compensation </t>
  </si>
  <si>
    <t xml:space="preserve">2.2.1.1.2  Travel and subsistence </t>
  </si>
  <si>
    <t>2.2.1.2 LC WG Convenors</t>
  </si>
  <si>
    <t>2.2.1.2.1 Compensation</t>
  </si>
  <si>
    <t>2.2.1.2.2 Travel and subsistence</t>
  </si>
  <si>
    <t>2.2.1.3.1  Labour cost</t>
  </si>
  <si>
    <t>2.2.1.3.2  Travel and accommondation</t>
  </si>
  <si>
    <t xml:space="preserve">2.2.2.1.1  Compensation </t>
  </si>
  <si>
    <t xml:space="preserve">2.2.2.1.2  Travel and subsistence </t>
  </si>
  <si>
    <t xml:space="preserve">2.2.2.2.1 Compensation </t>
  </si>
  <si>
    <t xml:space="preserve">2.2.2.2.2 Travel and subsistence </t>
  </si>
  <si>
    <t xml:space="preserve">2.2.2.3.1 Compensation </t>
  </si>
  <si>
    <t xml:space="preserve">2.2.2.3.2 Travel and subsistence </t>
  </si>
  <si>
    <t>2.2.3.1.1  Compensation</t>
  </si>
  <si>
    <t xml:space="preserve">2.2.3.1.2  Travel and subsistence </t>
  </si>
  <si>
    <t xml:space="preserve">2.2.3.2.1 Compensation </t>
  </si>
  <si>
    <t xml:space="preserve">2.2.3.2.2 Travel and subsistence </t>
  </si>
  <si>
    <t>2.2.3.3.1  Labour cost</t>
  </si>
  <si>
    <t>2.2.3.3.2  Travel and accommondation</t>
  </si>
  <si>
    <t xml:space="preserve">2.2.4.1.1  Compensation </t>
  </si>
  <si>
    <t xml:space="preserve">2.2.4.1.2  Travel and subsistence </t>
  </si>
  <si>
    <t xml:space="preserve">2.2.4.2.1 Compensation </t>
  </si>
  <si>
    <t xml:space="preserve">2.2.4.2.2 Travel and subsistence </t>
  </si>
  <si>
    <t>2.2.4.3.1  Labour cost</t>
  </si>
  <si>
    <t>2.2.4.3.2  Travel and accommondation</t>
  </si>
  <si>
    <t>2.2.4  Total costs EA Publications&amp;Promotion Committee</t>
  </si>
  <si>
    <t xml:space="preserve">2.2.5.1.2  Travel and subsistence </t>
  </si>
  <si>
    <t>2.2.5.2 DN convenors</t>
  </si>
  <si>
    <t xml:space="preserve">2.2.5.2.1 Compensation </t>
  </si>
  <si>
    <t>2.2.5.2.2 Travel and subsistence</t>
  </si>
  <si>
    <t xml:space="preserve">2.2.5.5.1  Compensation </t>
  </si>
  <si>
    <t>2.2.5.5.2 Travel and subsistence</t>
  </si>
  <si>
    <t>2.2.5.6.1  Labour cost</t>
  </si>
  <si>
    <t>2.2.5.6.2  Travel and accommondation</t>
  </si>
  <si>
    <t xml:space="preserve">2.2.6.1.1 Compensation </t>
  </si>
  <si>
    <t xml:space="preserve">2.2.6.1.2  Travel and subsistence </t>
  </si>
  <si>
    <t>2.2.6.2.1 Compensation</t>
  </si>
  <si>
    <t>2.2.6.2.2.Travel and subsistence</t>
  </si>
  <si>
    <t xml:space="preserve">2.2.6.3.1 Compensation </t>
  </si>
  <si>
    <t xml:space="preserve">2.2.6.3.2 Travel and subsistence </t>
  </si>
  <si>
    <t>2.2.6.4.1  Labour cost</t>
  </si>
  <si>
    <t>2.2.6.4.2  Travel and accommodation</t>
  </si>
  <si>
    <t>2.2.6.7 EU/ETS</t>
  </si>
  <si>
    <t>2.2.6.7.1 Expert group</t>
  </si>
  <si>
    <t>2.2.6.7.1.1  Setting up/ Appointment - Compensation</t>
  </si>
  <si>
    <t>2.2.6.7.1.2 Setting up / Appointment - Secretariat support (labour costs)</t>
  </si>
  <si>
    <t xml:space="preserve">2.2.6.7.2 Expert group - TFG P/E Procedure </t>
  </si>
  <si>
    <t>2.2.6.7.2.1  TFG P/E Procedure - Compensation</t>
  </si>
  <si>
    <t>2.2.6.7.2.2 TFG P/E Procedure - Secretariat support (labour costs)</t>
  </si>
  <si>
    <t>2.2.6.7.3.1 Scenario A (6 ABs)</t>
  </si>
  <si>
    <t>2.2.6.7.3.1.1 Secretariat support (labour costs)</t>
  </si>
  <si>
    <t>2.2.6.7.3.2 Scenario B (8 ABS)</t>
  </si>
  <si>
    <t>2.2.6.7.3.2.1 Secretariat support (Labour costs)</t>
  </si>
  <si>
    <t xml:space="preserve">2.3.1.1  Compensation </t>
  </si>
  <si>
    <t xml:space="preserve">2.3.1.2  Travel and subsistence </t>
  </si>
  <si>
    <t>2.3.2.1  Labour costs</t>
  </si>
  <si>
    <t>2.3.2.2  Travel and accommondation</t>
  </si>
  <si>
    <t xml:space="preserve">2.4.1.1 Compensation </t>
  </si>
  <si>
    <t xml:space="preserve">2.4.1.2  Travel and subsistence </t>
  </si>
  <si>
    <t>2.4.2.1  Labour costs</t>
  </si>
  <si>
    <t>2.4.2.2  Travel and accommondation</t>
  </si>
  <si>
    <t>2.5.1.1  Meeting arrangements</t>
  </si>
  <si>
    <t>2.5.1.2 Trainers</t>
  </si>
  <si>
    <t>2.5.1.2.1 Compensations</t>
  </si>
  <si>
    <t xml:space="preserve">2.5.1.2.2 Travel and subsistence </t>
  </si>
  <si>
    <t>2.5.1.3 Trainees</t>
  </si>
  <si>
    <t xml:space="preserve">2.5.1.3.1 Compensation </t>
  </si>
  <si>
    <t xml:space="preserve">2.5.1.3.2 Travel and subsistence </t>
  </si>
  <si>
    <t>2.5.1.4. Trainers Action Grant EU/ETS</t>
  </si>
  <si>
    <t>2.5.1.4.1 Compensations</t>
  </si>
  <si>
    <t>2.5.1.5.1 Compensations</t>
  </si>
  <si>
    <t>2.5.2.1  Meeting arrangements</t>
  </si>
  <si>
    <t>2.5.2.2 Trainers</t>
  </si>
  <si>
    <t>2.5.2.2.1 Compensation</t>
  </si>
  <si>
    <t xml:space="preserve">2.5.2.2.2 Travel and subsistence </t>
  </si>
  <si>
    <t>2.5.3.1 Secretarial support (labour cost)</t>
  </si>
  <si>
    <t>2.6.1 EC/EFTA and SOGS</t>
  </si>
  <si>
    <t>2.6.1.1 Compensation  (EA Chair, Vice-Chair, representatives)</t>
  </si>
  <si>
    <t>2.6.1.2  Travel and subsistence (EA Chair,Vice-Chair, representatives)</t>
  </si>
  <si>
    <t>2.6.1.3 Travel and acommodation (Executive Secretary)</t>
  </si>
  <si>
    <t>2.6.2.1 Compensation  (EA representatives)</t>
  </si>
  <si>
    <t>2.6.2.2  Travel and subsistence (EA representatives)</t>
  </si>
  <si>
    <t>2.6.2.3 Travel and accommodation (EA Executive Secretary)</t>
  </si>
  <si>
    <t>2.6.3.1 Compensation  (EA representatives)</t>
  </si>
  <si>
    <t>2.6.3.2  Travel and subsistence (EA representatives)</t>
  </si>
  <si>
    <t>2.6.4.1 Compensation  (EA Chair, representatives)</t>
  </si>
  <si>
    <t>2.6.4.2  Travel and subsistence (EA Chair, representatives)</t>
  </si>
  <si>
    <t>2.6.4.3 Secretariat travel and accommodation</t>
  </si>
  <si>
    <t>2.6.5.1 Compensation  (EA Chair, representatives)</t>
  </si>
  <si>
    <t>2.6.5.2  Travel and subsistence (EA Chair, representatives)</t>
  </si>
  <si>
    <t>2.6.6.1 Compensation  (EA Chair, representatives)</t>
  </si>
  <si>
    <t>2.6.6.2  Travel and subsistence (EA Chair, representatives)</t>
  </si>
  <si>
    <t>2.6.7.1  Secr labour costs for eligible liaisons</t>
  </si>
  <si>
    <t>2.7.1.1 Compensation</t>
  </si>
  <si>
    <t>2.7.1.2 Travel and subsistence</t>
  </si>
  <si>
    <t>2.7.2.1 Compensation</t>
  </si>
  <si>
    <t xml:space="preserve">2.7.2.2 Travel and subsistence </t>
  </si>
  <si>
    <t>2.7.3.1 Compensation</t>
  </si>
  <si>
    <t xml:space="preserve">2.7.3.2 Travel and subsistence </t>
  </si>
  <si>
    <t>2.7.4 Secretarial labour cost</t>
  </si>
  <si>
    <t>2.7.4.1 Secretariat labour cost</t>
  </si>
  <si>
    <t>2.7.4.2 Travel and subsistence (EA ExSecr)</t>
  </si>
  <si>
    <t>2.7.5 Other costs</t>
  </si>
  <si>
    <t>2.9.4.1 Compensation</t>
  </si>
  <si>
    <t>2.9.4.2 Travel and subsistence</t>
  </si>
  <si>
    <t>2.9.5.1 Compensation</t>
  </si>
  <si>
    <t>2.9.5.2 Travel and subsistence</t>
  </si>
  <si>
    <t>2.10.1  Labour costs (eligible)</t>
  </si>
  <si>
    <t>2.10.2 Labour cost (non-eligible)</t>
  </si>
  <si>
    <t xml:space="preserve">2.10.7 Cost associated with recruitment of the Executive Secretary and expansion of the Secretariat </t>
  </si>
  <si>
    <t>2.11.2 Insurance</t>
  </si>
  <si>
    <t>2.12.1 Technical and peer evaluation activities not specified elsewhere (eligible)</t>
  </si>
  <si>
    <t>2.12.1.1 Compensation</t>
  </si>
  <si>
    <t>2.12.1.2 Travel and subsistence</t>
  </si>
  <si>
    <t>2.12.1.3 Secretariat labour cost</t>
  </si>
  <si>
    <t>2.12.1.4 Secretariat travel and accomodation</t>
  </si>
  <si>
    <t>2.12.2 Technical and peer evaluation activities not specified elsewhere (non-eligible)</t>
  </si>
  <si>
    <t>2.12.2.1 Compensation</t>
  </si>
  <si>
    <t>2.12.2.3 Travel and subsistence</t>
  </si>
  <si>
    <t>2.12.2.3 Database group meetings</t>
  </si>
  <si>
    <t>2.12.2.4 Secretariat support</t>
  </si>
  <si>
    <t>2.12.2.4.2 Travel and accommodation</t>
  </si>
  <si>
    <t>2.13 Compensation MAC survey on implementation EA-INF/09 and EA-INF/10</t>
  </si>
  <si>
    <t>2.13.1.1 Project Director</t>
  </si>
  <si>
    <t>2.13.1.2 EX member</t>
  </si>
  <si>
    <t>2.13.1.3 Senior Key expert</t>
  </si>
  <si>
    <t>2.13.1.4 Senior Non-key expert</t>
  </si>
  <si>
    <t>2.13.1.5 Junior Non-key expert</t>
  </si>
  <si>
    <t>2.13.3.1 DAkkS</t>
  </si>
  <si>
    <t>2.13.3.2 ESYD</t>
  </si>
  <si>
    <t>2.13.3.3 EA Secretariat</t>
  </si>
  <si>
    <t xml:space="preserve">2.14.2 Travel and subsistence costs </t>
  </si>
  <si>
    <t>1.2.2 EA contribution to Action grant</t>
  </si>
  <si>
    <t>2.2.2.4 Organic farming coordinator</t>
  </si>
  <si>
    <t>2.2.2.4.1 Compensation</t>
  </si>
  <si>
    <t>2.2.2.4.2 Travel and subsistence</t>
  </si>
  <si>
    <t>2.2.2.5.1  Labour cost</t>
  </si>
  <si>
    <t>2.2.2.5.2  Travel and accommondation</t>
  </si>
  <si>
    <t>2.2.2.6  Other costs (web meetings)</t>
  </si>
  <si>
    <t>2.2.2.7.1 Management</t>
  </si>
  <si>
    <t>2.2.2.7.1.1 Compensation (CC Chair)</t>
  </si>
  <si>
    <t>2.2.2.7.1.2 Compensation (Network Convenor)</t>
  </si>
  <si>
    <t>2.2.2.7.2 Network meetings</t>
  </si>
  <si>
    <t>2.2.2.7.2.1  Convenor costs</t>
  </si>
  <si>
    <t xml:space="preserve">2.2.2.7.2.1.1 Compensation </t>
  </si>
  <si>
    <t>2.2.2.7.2.1.2 Travel and subsistence</t>
  </si>
  <si>
    <t>2.2.2.7.2.2 Network members' costs</t>
  </si>
  <si>
    <t>2.2.2.7.2.1 Compensation</t>
  </si>
  <si>
    <t>2.2.2.7.2.2 Travel and subsistence</t>
  </si>
  <si>
    <t>2.2.2.7.2.3 Secretariat support</t>
  </si>
  <si>
    <t>2.2.2.7.2.3.1 Labour costs</t>
  </si>
  <si>
    <t>2.2.2.7.2.3.2 Travel and accommodation</t>
  </si>
  <si>
    <t xml:space="preserve">2.2.5.1.1  Compensation </t>
  </si>
  <si>
    <t xml:space="preserve">2.2.5.5 TFG/WG convenors </t>
  </si>
  <si>
    <t xml:space="preserve">2.5.2  Expenditure other training activities </t>
  </si>
  <si>
    <t xml:space="preserve">2.2.2.3 WG convenors </t>
  </si>
  <si>
    <t>2.2.3.2 WG convenors</t>
  </si>
  <si>
    <t>2.2.4.1  CPC Chair + Vice-Chair</t>
  </si>
  <si>
    <t>2.2.2.1  CC Chair + Vice-Chair</t>
  </si>
  <si>
    <t>2.2.4.2 WG Development convenor</t>
  </si>
  <si>
    <t>2.2.5.1  HHC Chair + Vice-Chair</t>
  </si>
  <si>
    <r>
      <t xml:space="preserve">2.2.5.3.1  Compensation (HHC Chair </t>
    </r>
    <r>
      <rPr>
        <sz val="9"/>
        <rFont val="Calibri"/>
        <family val="2"/>
        <charset val="238"/>
      </rPr>
      <t>&amp;</t>
    </r>
    <r>
      <rPr>
        <sz val="9.9"/>
        <rFont val="Arial"/>
        <family val="2"/>
        <charset val="238"/>
      </rPr>
      <t xml:space="preserve"> Vice-Chair</t>
    </r>
    <r>
      <rPr>
        <sz val="9"/>
        <rFont val="Arial"/>
        <family val="2"/>
        <charset val="238"/>
      </rPr>
      <t>)</t>
    </r>
  </si>
  <si>
    <t>2.2.5.3.2 Travel and subsistence (HHC Chair &amp; Vice-Chair)</t>
  </si>
  <si>
    <t>2.2.6.2 MAC MG members</t>
  </si>
  <si>
    <t>Annex 2    WP 2016</t>
  </si>
  <si>
    <t>Operating cost</t>
  </si>
  <si>
    <t>Actual Budget 2013</t>
  </si>
  <si>
    <t>Actual Budget 2014</t>
  </si>
  <si>
    <t>Recruitment &amp; Associated costs</t>
  </si>
  <si>
    <t>WP 2016</t>
  </si>
  <si>
    <t>Percentage of cost</t>
  </si>
  <si>
    <r>
      <t>Amount in k</t>
    </r>
    <r>
      <rPr>
        <b/>
        <sz val="10"/>
        <rFont val="Calibri"/>
        <family val="2"/>
        <charset val="238"/>
      </rPr>
      <t>€</t>
    </r>
  </si>
  <si>
    <t>P1 + P2</t>
  </si>
  <si>
    <t>2.12.1.5 Other costs</t>
  </si>
  <si>
    <t xml:space="preserve">2.2.2.2 Maritime issues coordinator </t>
  </si>
  <si>
    <t>2.9.6 Secretariat labour cost</t>
  </si>
  <si>
    <t xml:space="preserve">2.9.7 Other costs </t>
  </si>
  <si>
    <t>2.9.8 Audit and certificate for action grant</t>
  </si>
  <si>
    <t>2.9.9 Verification of Service contract (RusAccreditation)</t>
  </si>
  <si>
    <t>2.9.10 Verification of JRC contract (BCS)</t>
  </si>
  <si>
    <t>2.6.7.2 Secr labour cost for non-eligble liaisons</t>
  </si>
  <si>
    <t>2.5.4  Other costs</t>
  </si>
  <si>
    <t>Annex 2                      2018</t>
  </si>
  <si>
    <t>Annex 2 2016</t>
  </si>
  <si>
    <t>Expenditures</t>
  </si>
  <si>
    <t>Revenues</t>
  </si>
  <si>
    <t>Peer evaluation system</t>
  </si>
  <si>
    <t>Membership fees</t>
  </si>
  <si>
    <t>Technical / Committee activities</t>
  </si>
  <si>
    <t>*regular Membership fees</t>
  </si>
  <si>
    <t>Liaison activities</t>
  </si>
  <si>
    <t>*additional Membership fees</t>
  </si>
  <si>
    <t>IT and Communication</t>
  </si>
  <si>
    <t>Operating grant</t>
  </si>
  <si>
    <t>EA Secretariat</t>
  </si>
  <si>
    <t>Other financial incomes</t>
  </si>
  <si>
    <t>Labour costs</t>
  </si>
  <si>
    <t>Office premises</t>
  </si>
  <si>
    <t>Equipment</t>
  </si>
  <si>
    <t>Secretariat travel costs</t>
  </si>
  <si>
    <t>Other Secretariats costs</t>
  </si>
  <si>
    <t>Finance</t>
  </si>
  <si>
    <t>Legal and Insurance costs</t>
  </si>
  <si>
    <t>EA'reserve policy</t>
  </si>
  <si>
    <t>Provision not receiving full OG</t>
  </si>
  <si>
    <t>BCS budget 2018</t>
  </si>
  <si>
    <t>OG budget 2018 Sent to EC/EFTA vMay 17 Option A</t>
  </si>
  <si>
    <t>Actuals</t>
  </si>
  <si>
    <t>Actuals at End 2017</t>
  </si>
  <si>
    <t>Provision for not receiving full OG</t>
  </si>
  <si>
    <t>Budget 2018 vMay 17  Option A</t>
  </si>
  <si>
    <t xml:space="preserve"> Budget 2018 vNov17  Option B</t>
  </si>
  <si>
    <t>Budget 2018 Option A May 2017</t>
  </si>
  <si>
    <t xml:space="preserve"> Budget 2018 Option A June 2018</t>
  </si>
  <si>
    <t>Forecast June 2018</t>
  </si>
  <si>
    <t xml:space="preserve">                                </t>
  </si>
  <si>
    <t>Profit(+) / loss(-) for 2018</t>
  </si>
  <si>
    <t>Provision (write off) for not receiving full Operating grant (reducing costs)</t>
  </si>
  <si>
    <t>Profit</t>
  </si>
  <si>
    <t>Net operating</t>
  </si>
  <si>
    <t>Forecast September 2018 Option A</t>
  </si>
  <si>
    <t xml:space="preserve">P1 </t>
  </si>
  <si>
    <t>Revised Budget A June 2018</t>
  </si>
  <si>
    <t>2.2.5.3  Seminar EA-EC and other HHC-led meetings</t>
  </si>
  <si>
    <t>Forecast September 2018</t>
  </si>
  <si>
    <t>Forecast June 2018 Option A</t>
  </si>
  <si>
    <t>Actuals at end Sep 2018</t>
  </si>
  <si>
    <t>2.4.3  Other costs (EA meeting linked to ILAC IAF Plenaries)</t>
  </si>
  <si>
    <t>1.1.2 Additional membership fee (5%) to EA reserves to meet EA Reserves Policy</t>
  </si>
  <si>
    <t>EA Budget 2018 Q3 12 November 2018</t>
  </si>
  <si>
    <t>AI_8.1a EAGA(18)11-27 ABB 2018 Q3 12Nov2018 for 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</si>
</sst>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#,##0.00"/>
    <numFmt numFmtId="165" formatCode="#,##0.0"/>
    <numFmt numFmtId="166" formatCode="0.0000%"/>
    <numFmt numFmtId="167" formatCode="#,##0\ _€"/>
  </numFmts>
  <fonts count="32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9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sz val="10"/>
      <color rgb="FF00B050"/>
      <name val="Arial"/>
      <family val="2"/>
    </font>
    <font>
      <sz val="11"/>
      <name val="Arial"/>
      <family val="2"/>
      <charset val="238"/>
    </font>
    <font>
      <u/>
      <sz val="10"/>
      <color theme="10"/>
      <name val="Arial"/>
      <family val="2"/>
    </font>
    <font>
      <sz val="9"/>
      <color rgb="FFFF0000"/>
      <name val="Arial"/>
      <family val="2"/>
      <charset val="238"/>
    </font>
    <font>
      <sz val="9"/>
      <name val="Calibri"/>
      <family val="2"/>
      <charset val="238"/>
    </font>
    <font>
      <sz val="9.9"/>
      <name val="Arial"/>
      <family val="2"/>
      <charset val="238"/>
    </font>
    <font>
      <b/>
      <sz val="8"/>
      <color rgb="FF00B050"/>
      <name val="Arial"/>
      <family val="2"/>
    </font>
    <font>
      <b/>
      <sz val="1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4EF85E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7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5" fillId="0" borderId="0"/>
    <xf numFmtId="0" fontId="22" fillId="0" borderId="0" applyNumberFormat="0" applyFill="0" applyBorder="0" applyAlignment="0" applyProtection="0"/>
    <xf numFmtId="0" fontId="3" fillId="0" borderId="0"/>
    <xf numFmtId="0" fontId="29" fillId="24" borderId="0" applyNumberFormat="0" applyBorder="0" applyAlignment="0" applyProtection="0"/>
    <xf numFmtId="0" fontId="3" fillId="0" borderId="0"/>
    <xf numFmtId="0" fontId="1" fillId="0" borderId="0"/>
    <xf numFmtId="0" fontId="1" fillId="0" borderId="0"/>
  </cellStyleXfs>
  <cellXfs count="523">
    <xf numFmtId="0" fontId="0" fillId="0" borderId="0" xfId="0"/>
    <xf numFmtId="0" fontId="6" fillId="0" borderId="0" xfId="0" applyFont="1"/>
    <xf numFmtId="3" fontId="0" fillId="0" borderId="0" xfId="0" applyNumberFormat="1"/>
    <xf numFmtId="0" fontId="0" fillId="0" borderId="0" xfId="0" applyFill="1"/>
    <xf numFmtId="0" fontId="6" fillId="4" borderId="0" xfId="0" applyFont="1" applyFill="1"/>
    <xf numFmtId="3" fontId="6" fillId="0" borderId="0" xfId="0" applyNumberFormat="1" applyFont="1"/>
    <xf numFmtId="3" fontId="2" fillId="0" borderId="0" xfId="0" applyNumberFormat="1" applyFont="1"/>
    <xf numFmtId="3" fontId="6" fillId="3" borderId="0" xfId="0" applyNumberFormat="1" applyFont="1" applyFill="1"/>
    <xf numFmtId="3" fontId="0" fillId="0" borderId="0" xfId="0" applyNumberFormat="1" applyFill="1"/>
    <xf numFmtId="3" fontId="6" fillId="7" borderId="0" xfId="0" applyNumberFormat="1" applyFont="1" applyFill="1"/>
    <xf numFmtId="3" fontId="6" fillId="0" borderId="0" xfId="0" applyNumberFormat="1" applyFont="1" applyFill="1"/>
    <xf numFmtId="3" fontId="0" fillId="0" borderId="0" xfId="0" applyNumberFormat="1" applyFill="1" applyBorder="1"/>
    <xf numFmtId="0" fontId="0" fillId="0" borderId="0" xfId="0" applyFill="1" applyBorder="1"/>
    <xf numFmtId="0" fontId="2" fillId="0" borderId="0" xfId="0" applyFont="1" applyFill="1" applyBorder="1"/>
    <xf numFmtId="3" fontId="0" fillId="0" borderId="0" xfId="0" applyNumberFormat="1" applyAlignment="1">
      <alignment horizontal="left"/>
    </xf>
    <xf numFmtId="3" fontId="0" fillId="0" borderId="0" xfId="0" applyNumberFormat="1" applyFill="1" applyAlignment="1">
      <alignment horizontal="left"/>
    </xf>
    <xf numFmtId="3" fontId="6" fillId="0" borderId="0" xfId="0" applyNumberFormat="1" applyFont="1" applyFill="1" applyBorder="1"/>
    <xf numFmtId="3" fontId="2" fillId="0" borderId="0" xfId="0" applyNumberFormat="1" applyFont="1" applyFill="1" applyBorder="1"/>
    <xf numFmtId="0" fontId="0" fillId="0" borderId="0" xfId="0" applyBorder="1"/>
    <xf numFmtId="0" fontId="6" fillId="9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6" fillId="17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17" borderId="0" xfId="0" applyFont="1" applyFill="1" applyBorder="1" applyAlignment="1">
      <alignment vertical="center" wrapText="1"/>
    </xf>
    <xf numFmtId="0" fontId="2" fillId="0" borderId="0" xfId="1" applyFont="1" applyFill="1"/>
    <xf numFmtId="0" fontId="6" fillId="0" borderId="0" xfId="1" applyFont="1" applyFill="1" applyBorder="1"/>
    <xf numFmtId="0" fontId="3" fillId="0" borderId="0" xfId="1" applyFont="1" applyFill="1"/>
    <xf numFmtId="0" fontId="2" fillId="0" borderId="0" xfId="1" applyFont="1"/>
    <xf numFmtId="0" fontId="6" fillId="0" borderId="0" xfId="1" applyFont="1"/>
    <xf numFmtId="0" fontId="3" fillId="0" borderId="0" xfId="1" applyFont="1" applyFill="1" applyBorder="1"/>
    <xf numFmtId="0" fontId="6" fillId="0" borderId="0" xfId="1" applyFont="1" applyBorder="1"/>
    <xf numFmtId="49" fontId="5" fillId="11" borderId="0" xfId="1" applyNumberFormat="1" applyFont="1" applyFill="1" applyBorder="1" applyAlignment="1">
      <alignment vertical="top" wrapText="1"/>
    </xf>
    <xf numFmtId="49" fontId="5" fillId="11" borderId="13" xfId="1" applyNumberFormat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Border="1"/>
    <xf numFmtId="49" fontId="11" fillId="0" borderId="0" xfId="1" applyNumberFormat="1" applyFont="1" applyFill="1" applyBorder="1" applyAlignment="1">
      <alignment vertical="top" wrapText="1"/>
    </xf>
    <xf numFmtId="0" fontId="9" fillId="0" borderId="0" xfId="1" applyFont="1" applyFill="1"/>
    <xf numFmtId="3" fontId="3" fillId="0" borderId="0" xfId="1" applyNumberFormat="1" applyFont="1" applyFill="1"/>
    <xf numFmtId="0" fontId="3" fillId="0" borderId="0" xfId="1" applyFont="1"/>
    <xf numFmtId="0" fontId="4" fillId="5" borderId="14" xfId="1" applyFont="1" applyFill="1" applyBorder="1" applyAlignment="1">
      <alignment horizontal="left" vertical="center" wrapText="1"/>
    </xf>
    <xf numFmtId="0" fontId="3" fillId="0" borderId="0" xfId="1" applyFont="1" applyAlignment="1">
      <alignment vertical="center"/>
    </xf>
    <xf numFmtId="3" fontId="11" fillId="0" borderId="1" xfId="1" applyNumberFormat="1" applyFont="1" applyFill="1" applyBorder="1"/>
    <xf numFmtId="3" fontId="11" fillId="11" borderId="1" xfId="1" applyNumberFormat="1" applyFont="1" applyFill="1" applyBorder="1"/>
    <xf numFmtId="3" fontId="11" fillId="14" borderId="1" xfId="1" applyNumberFormat="1" applyFont="1" applyFill="1" applyBorder="1"/>
    <xf numFmtId="0" fontId="4" fillId="2" borderId="8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wrapText="1"/>
    </xf>
    <xf numFmtId="0" fontId="4" fillId="5" borderId="4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3" fillId="0" borderId="0" xfId="1" applyFont="1" applyFill="1" applyBorder="1" applyAlignment="1">
      <alignment horizontal="center" wrapText="1"/>
    </xf>
    <xf numFmtId="0" fontId="7" fillId="0" borderId="0" xfId="1" applyFont="1" applyBorder="1"/>
    <xf numFmtId="0" fontId="8" fillId="7" borderId="4" xfId="1" applyFont="1" applyFill="1" applyBorder="1" applyAlignment="1">
      <alignment wrapText="1"/>
    </xf>
    <xf numFmtId="0" fontId="4" fillId="0" borderId="8" xfId="1" applyFont="1" applyFill="1" applyBorder="1" applyAlignment="1">
      <alignment wrapText="1"/>
    </xf>
    <xf numFmtId="0" fontId="8" fillId="12" borderId="4" xfId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4" fillId="0" borderId="4" xfId="1" applyFont="1" applyFill="1" applyBorder="1" applyAlignment="1">
      <alignment wrapText="1"/>
    </xf>
    <xf numFmtId="0" fontId="3" fillId="0" borderId="0" xfId="1" applyFont="1" applyBorder="1"/>
    <xf numFmtId="49" fontId="5" fillId="0" borderId="9" xfId="1" applyNumberFormat="1" applyFont="1" applyFill="1" applyBorder="1"/>
    <xf numFmtId="0" fontId="11" fillId="0" borderId="4" xfId="1" applyFont="1" applyFill="1" applyBorder="1" applyAlignment="1">
      <alignment wrapText="1"/>
    </xf>
    <xf numFmtId="49" fontId="11" fillId="0" borderId="4" xfId="1" applyNumberFormat="1" applyFont="1" applyFill="1" applyBorder="1" applyAlignment="1">
      <alignment wrapText="1"/>
    </xf>
    <xf numFmtId="14" fontId="4" fillId="0" borderId="8" xfId="1" applyNumberFormat="1" applyFont="1" applyFill="1" applyBorder="1" applyAlignment="1">
      <alignment wrapText="1"/>
    </xf>
    <xf numFmtId="0" fontId="11" fillId="0" borderId="0" xfId="1" applyFont="1"/>
    <xf numFmtId="0" fontId="5" fillId="0" borderId="8" xfId="1" applyFont="1" applyFill="1" applyBorder="1"/>
    <xf numFmtId="0" fontId="2" fillId="0" borderId="0" xfId="1" applyFont="1" applyBorder="1"/>
    <xf numFmtId="0" fontId="4" fillId="0" borderId="10" xfId="1" applyFont="1" applyFill="1" applyBorder="1" applyAlignment="1">
      <alignment horizontal="left" wrapText="1"/>
    </xf>
    <xf numFmtId="0" fontId="5" fillId="0" borderId="13" xfId="1" applyFont="1" applyFill="1" applyBorder="1" applyAlignment="1">
      <alignment vertical="center" wrapText="1"/>
    </xf>
    <xf numFmtId="3" fontId="4" fillId="0" borderId="1" xfId="1" applyNumberFormat="1" applyFont="1" applyFill="1" applyBorder="1" applyAlignment="1">
      <alignment vertical="center"/>
    </xf>
    <xf numFmtId="0" fontId="5" fillId="11" borderId="13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5" fillId="15" borderId="9" xfId="1" applyFont="1" applyFill="1" applyBorder="1" applyAlignment="1">
      <alignment vertical="center" wrapText="1"/>
    </xf>
    <xf numFmtId="0" fontId="5" fillId="16" borderId="13" xfId="1" applyFont="1" applyFill="1" applyBorder="1" applyAlignment="1">
      <alignment vertical="center" wrapText="1"/>
    </xf>
    <xf numFmtId="0" fontId="4" fillId="0" borderId="11" xfId="1" applyFont="1" applyFill="1" applyBorder="1" applyAlignment="1">
      <alignment wrapText="1"/>
    </xf>
    <xf numFmtId="49" fontId="8" fillId="0" borderId="0" xfId="1" quotePrefix="1" applyNumberFormat="1" applyFont="1" applyFill="1" applyBorder="1" applyAlignment="1">
      <alignment horizontal="left" wrapText="1"/>
    </xf>
    <xf numFmtId="3" fontId="10" fillId="0" borderId="0" xfId="1" applyNumberFormat="1" applyFont="1" applyFill="1" applyBorder="1" applyAlignment="1">
      <alignment horizontal="right"/>
    </xf>
    <xf numFmtId="3" fontId="3" fillId="0" borderId="0" xfId="1" applyNumberFormat="1" applyFont="1" applyBorder="1"/>
    <xf numFmtId="3" fontId="9" fillId="0" borderId="0" xfId="1" applyNumberFormat="1" applyFont="1" applyFill="1"/>
    <xf numFmtId="49" fontId="3" fillId="0" borderId="0" xfId="1" applyNumberFormat="1" applyFont="1" applyAlignment="1">
      <alignment horizontal="center"/>
    </xf>
    <xf numFmtId="3" fontId="9" fillId="0" borderId="0" xfId="1" applyNumberFormat="1" applyFont="1" applyFill="1" applyBorder="1"/>
    <xf numFmtId="164" fontId="4" fillId="0" borderId="36" xfId="1" applyNumberFormat="1" applyFont="1" applyFill="1" applyBorder="1" applyAlignment="1">
      <alignment horizontal="center" vertical="center" wrapText="1"/>
    </xf>
    <xf numFmtId="0" fontId="4" fillId="0" borderId="1" xfId="1" quotePrefix="1" applyFont="1" applyFill="1" applyBorder="1" applyAlignment="1">
      <alignment horizontal="left" wrapText="1"/>
    </xf>
    <xf numFmtId="0" fontId="11" fillId="0" borderId="1" xfId="1" quotePrefix="1" applyFont="1" applyFill="1" applyBorder="1" applyAlignment="1">
      <alignment horizontal="left" wrapText="1"/>
    </xf>
    <xf numFmtId="0" fontId="11" fillId="0" borderId="1" xfId="1" applyFont="1" applyFill="1" applyBorder="1" applyAlignment="1">
      <alignment horizontal="left" wrapText="1"/>
    </xf>
    <xf numFmtId="0" fontId="11" fillId="11" borderId="1" xfId="1" applyFont="1" applyFill="1" applyBorder="1" applyAlignment="1">
      <alignment horizontal="left" wrapText="1"/>
    </xf>
    <xf numFmtId="49" fontId="4" fillId="0" borderId="1" xfId="1" applyNumberFormat="1" applyFont="1" applyFill="1" applyBorder="1" applyAlignment="1">
      <alignment horizontal="left" wrapText="1"/>
    </xf>
    <xf numFmtId="0" fontId="4" fillId="11" borderId="1" xfId="1" applyFont="1" applyFill="1" applyBorder="1" applyAlignment="1">
      <alignment horizontal="left" wrapText="1"/>
    </xf>
    <xf numFmtId="0" fontId="4" fillId="19" borderId="1" xfId="1" applyFont="1" applyFill="1" applyBorder="1" applyAlignment="1">
      <alignment horizontal="left" wrapText="1"/>
    </xf>
    <xf numFmtId="3" fontId="11" fillId="19" borderId="1" xfId="1" applyNumberFormat="1" applyFont="1" applyFill="1" applyBorder="1"/>
    <xf numFmtId="0" fontId="3" fillId="19" borderId="0" xfId="1" applyFont="1" applyFill="1"/>
    <xf numFmtId="0" fontId="4" fillId="14" borderId="1" xfId="1" applyFont="1" applyFill="1" applyBorder="1" applyAlignment="1">
      <alignment horizontal="left" wrapText="1"/>
    </xf>
    <xf numFmtId="3" fontId="23" fillId="14" borderId="1" xfId="1" applyNumberFormat="1" applyFont="1" applyFill="1" applyBorder="1"/>
    <xf numFmtId="0" fontId="4" fillId="0" borderId="1" xfId="1" applyFont="1" applyFill="1" applyBorder="1" applyAlignment="1">
      <alignment horizontal="left" wrapText="1"/>
    </xf>
    <xf numFmtId="0" fontId="4" fillId="2" borderId="3" xfId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wrapText="1"/>
    </xf>
    <xf numFmtId="14" fontId="5" fillId="0" borderId="0" xfId="1" applyNumberFormat="1" applyFont="1" applyBorder="1"/>
    <xf numFmtId="14" fontId="11" fillId="0" borderId="0" xfId="1" applyNumberFormat="1" applyFont="1" applyBorder="1"/>
    <xf numFmtId="0" fontId="11" fillId="0" borderId="0" xfId="1" applyFont="1" applyFill="1" applyBorder="1" applyAlignment="1">
      <alignment wrapText="1"/>
    </xf>
    <xf numFmtId="0" fontId="5" fillId="0" borderId="4" xfId="1" applyFont="1" applyFill="1" applyBorder="1" applyAlignment="1">
      <alignment wrapText="1"/>
    </xf>
    <xf numFmtId="0" fontId="4" fillId="11" borderId="0" xfId="1" applyFont="1" applyFill="1" applyBorder="1" applyAlignment="1">
      <alignment wrapText="1"/>
    </xf>
    <xf numFmtId="0" fontId="9" fillId="11" borderId="0" xfId="1" applyFont="1" applyFill="1" applyBorder="1" applyAlignment="1">
      <alignment wrapText="1"/>
    </xf>
    <xf numFmtId="0" fontId="5" fillId="11" borderId="0" xfId="1" applyFont="1" applyFill="1" applyBorder="1" applyAlignment="1">
      <alignment wrapText="1"/>
    </xf>
    <xf numFmtId="0" fontId="9" fillId="11" borderId="1" xfId="1" applyFont="1" applyFill="1" applyBorder="1" applyAlignment="1">
      <alignment wrapText="1"/>
    </xf>
    <xf numFmtId="0" fontId="4" fillId="11" borderId="1" xfId="1" applyFont="1" applyFill="1" applyBorder="1" applyAlignment="1">
      <alignment wrapText="1"/>
    </xf>
    <xf numFmtId="0" fontId="11" fillId="0" borderId="4" xfId="1" applyFont="1" applyFill="1" applyBorder="1" applyAlignment="1">
      <alignment vertical="top" wrapText="1"/>
    </xf>
    <xf numFmtId="0" fontId="6" fillId="12" borderId="4" xfId="1" applyFont="1" applyFill="1" applyBorder="1" applyAlignment="1">
      <alignment wrapText="1"/>
    </xf>
    <xf numFmtId="0" fontId="5" fillId="7" borderId="4" xfId="1" applyFont="1" applyFill="1" applyBorder="1" applyAlignment="1">
      <alignment wrapText="1"/>
    </xf>
    <xf numFmtId="0" fontId="4" fillId="11" borderId="4" xfId="1" applyFont="1" applyFill="1" applyBorder="1" applyAlignment="1">
      <alignment wrapText="1"/>
    </xf>
    <xf numFmtId="3" fontId="11" fillId="11" borderId="27" xfId="1" applyNumberFormat="1" applyFont="1" applyFill="1" applyBorder="1"/>
    <xf numFmtId="0" fontId="11" fillId="11" borderId="4" xfId="1" applyFont="1" applyFill="1" applyBorder="1" applyAlignment="1">
      <alignment wrapText="1"/>
    </xf>
    <xf numFmtId="14" fontId="5" fillId="0" borderId="0" xfId="1" applyNumberFormat="1" applyFont="1" applyFill="1" applyBorder="1"/>
    <xf numFmtId="0" fontId="5" fillId="0" borderId="4" xfId="1" applyFont="1" applyFill="1" applyBorder="1" applyAlignment="1">
      <alignment vertical="top" wrapText="1"/>
    </xf>
    <xf numFmtId="3" fontId="11" fillId="0" borderId="27" xfId="1" applyNumberFormat="1" applyFont="1" applyFill="1" applyBorder="1"/>
    <xf numFmtId="14" fontId="4" fillId="0" borderId="4" xfId="1" applyNumberFormat="1" applyFont="1" applyFill="1" applyBorder="1" applyAlignment="1">
      <alignment wrapText="1"/>
    </xf>
    <xf numFmtId="14" fontId="4" fillId="0" borderId="0" xfId="1" applyNumberFormat="1" applyFont="1" applyFill="1" applyBorder="1" applyAlignment="1">
      <alignment wrapText="1"/>
    </xf>
    <xf numFmtId="14" fontId="4" fillId="11" borderId="0" xfId="1" applyNumberFormat="1" applyFont="1" applyFill="1" applyBorder="1" applyAlignment="1">
      <alignment wrapText="1"/>
    </xf>
    <xf numFmtId="14" fontId="4" fillId="19" borderId="0" xfId="1" applyNumberFormat="1" applyFont="1" applyFill="1" applyBorder="1" applyAlignment="1">
      <alignment wrapText="1"/>
    </xf>
    <xf numFmtId="3" fontId="11" fillId="19" borderId="27" xfId="1" applyNumberFormat="1" applyFont="1" applyFill="1" applyBorder="1"/>
    <xf numFmtId="0" fontId="5" fillId="0" borderId="13" xfId="1" applyFont="1" applyFill="1" applyBorder="1" applyAlignment="1">
      <alignment vertical="top" wrapText="1"/>
    </xf>
    <xf numFmtId="0" fontId="6" fillId="12" borderId="4" xfId="1" applyFont="1" applyFill="1" applyBorder="1"/>
    <xf numFmtId="0" fontId="5" fillId="0" borderId="4" xfId="1" applyFont="1" applyFill="1" applyBorder="1"/>
    <xf numFmtId="3" fontId="11" fillId="11" borderId="31" xfId="1" applyNumberFormat="1" applyFont="1" applyFill="1" applyBorder="1"/>
    <xf numFmtId="0" fontId="20" fillId="0" borderId="4" xfId="1" applyFont="1" applyFill="1" applyBorder="1"/>
    <xf numFmtId="49" fontId="5" fillId="19" borderId="0" xfId="1" applyNumberFormat="1" applyFont="1" applyFill="1" applyBorder="1"/>
    <xf numFmtId="49" fontId="11" fillId="19" borderId="0" xfId="1" applyNumberFormat="1" applyFont="1" applyFill="1" applyBorder="1"/>
    <xf numFmtId="3" fontId="3" fillId="19" borderId="1" xfId="1" applyNumberFormat="1" applyFont="1" applyFill="1" applyBorder="1"/>
    <xf numFmtId="49" fontId="5" fillId="19" borderId="9" xfId="1" applyNumberFormat="1" applyFont="1" applyFill="1" applyBorder="1"/>
    <xf numFmtId="3" fontId="6" fillId="19" borderId="3" xfId="1" applyNumberFormat="1" applyFont="1" applyFill="1" applyBorder="1"/>
    <xf numFmtId="49" fontId="5" fillId="0" borderId="0" xfId="1" applyNumberFormat="1" applyFont="1" applyFill="1" applyBorder="1"/>
    <xf numFmtId="3" fontId="6" fillId="0" borderId="1" xfId="1" applyNumberFormat="1" applyFont="1" applyFill="1" applyBorder="1"/>
    <xf numFmtId="3" fontId="11" fillId="14" borderId="27" xfId="1" applyNumberFormat="1" applyFont="1" applyFill="1" applyBorder="1"/>
    <xf numFmtId="49" fontId="11" fillId="14" borderId="1" xfId="1" applyNumberFormat="1" applyFont="1" applyFill="1" applyBorder="1"/>
    <xf numFmtId="49" fontId="5" fillId="14" borderId="9" xfId="1" applyNumberFormat="1" applyFont="1" applyFill="1" applyBorder="1"/>
    <xf numFmtId="3" fontId="5" fillId="14" borderId="3" xfId="1" applyNumberFormat="1" applyFont="1" applyFill="1" applyBorder="1"/>
    <xf numFmtId="0" fontId="20" fillId="0" borderId="13" xfId="1" applyFont="1" applyFill="1" applyBorder="1"/>
    <xf numFmtId="3" fontId="4" fillId="0" borderId="3" xfId="1" applyNumberFormat="1" applyFont="1" applyFill="1" applyBorder="1"/>
    <xf numFmtId="0" fontId="5" fillId="13" borderId="2" xfId="1" applyFont="1" applyFill="1" applyBorder="1" applyAlignment="1">
      <alignment vertical="center" wrapText="1"/>
    </xf>
    <xf numFmtId="3" fontId="4" fillId="13" borderId="3" xfId="1" applyNumberFormat="1" applyFont="1" applyFill="1" applyBorder="1" applyAlignment="1">
      <alignment vertical="center"/>
    </xf>
    <xf numFmtId="3" fontId="4" fillId="15" borderId="3" xfId="1" applyNumberFormat="1" applyFont="1" applyFill="1" applyBorder="1" applyAlignment="1">
      <alignment vertical="center"/>
    </xf>
    <xf numFmtId="3" fontId="4" fillId="11" borderId="2" xfId="1" applyNumberFormat="1" applyFont="1" applyFill="1" applyBorder="1" applyAlignment="1">
      <alignment vertical="center"/>
    </xf>
    <xf numFmtId="49" fontId="8" fillId="14" borderId="5" xfId="1" quotePrefix="1" applyNumberFormat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right" wrapText="1"/>
    </xf>
    <xf numFmtId="3" fontId="18" fillId="0" borderId="0" xfId="1" applyNumberFormat="1" applyFont="1" applyFill="1" applyBorder="1" applyAlignment="1">
      <alignment horizontal="left"/>
    </xf>
    <xf numFmtId="3" fontId="26" fillId="0" borderId="0" xfId="1" applyNumberFormat="1" applyFont="1" applyFill="1" applyBorder="1" applyAlignment="1">
      <alignment horizontal="right"/>
    </xf>
    <xf numFmtId="3" fontId="4" fillId="9" borderId="3" xfId="1" applyNumberFormat="1" applyFont="1" applyFill="1" applyBorder="1" applyAlignment="1">
      <alignment horizontal="right" vertical="center"/>
    </xf>
    <xf numFmtId="14" fontId="4" fillId="14" borderId="0" xfId="1" applyNumberFormat="1" applyFont="1" applyFill="1" applyBorder="1" applyAlignment="1">
      <alignment wrapText="1"/>
    </xf>
    <xf numFmtId="3" fontId="4" fillId="16" borderId="3" xfId="1" applyNumberFormat="1" applyFont="1" applyFill="1" applyBorder="1" applyAlignment="1">
      <alignment vertical="center"/>
    </xf>
    <xf numFmtId="0" fontId="2" fillId="0" borderId="20" xfId="0" applyFont="1" applyFill="1" applyBorder="1"/>
    <xf numFmtId="49" fontId="5" fillId="14" borderId="0" xfId="1" applyNumberFormat="1" applyFont="1" applyFill="1" applyBorder="1"/>
    <xf numFmtId="3" fontId="6" fillId="0" borderId="0" xfId="0" applyNumberFormat="1" applyFont="1" applyAlignment="1">
      <alignment horizontal="center"/>
    </xf>
    <xf numFmtId="3" fontId="6" fillId="9" borderId="0" xfId="0" applyNumberFormat="1" applyFont="1" applyFill="1" applyAlignment="1">
      <alignment horizontal="center" vertical="center" wrapText="1"/>
    </xf>
    <xf numFmtId="3" fontId="0" fillId="0" borderId="0" xfId="0" applyNumberFormat="1" applyAlignment="1">
      <alignment horizontal="right"/>
    </xf>
    <xf numFmtId="166" fontId="0" fillId="18" borderId="0" xfId="0" applyNumberFormat="1" applyFill="1" applyBorder="1"/>
    <xf numFmtId="0" fontId="6" fillId="7" borderId="0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/>
    </xf>
    <xf numFmtId="165" fontId="21" fillId="0" borderId="0" xfId="0" applyNumberFormat="1" applyFont="1" applyBorder="1" applyAlignment="1">
      <alignment vertical="center" wrapText="1"/>
    </xf>
    <xf numFmtId="165" fontId="21" fillId="7" borderId="0" xfId="0" applyNumberFormat="1" applyFont="1" applyFill="1" applyBorder="1" applyAlignment="1">
      <alignment vertical="center" wrapText="1"/>
    </xf>
    <xf numFmtId="166" fontId="0" fillId="0" borderId="0" xfId="0" applyNumberFormat="1"/>
    <xf numFmtId="166" fontId="0" fillId="7" borderId="0" xfId="0" applyNumberFormat="1" applyFill="1"/>
    <xf numFmtId="3" fontId="4" fillId="20" borderId="27" xfId="1" applyNumberFormat="1" applyFont="1" applyFill="1" applyBorder="1" applyAlignment="1">
      <alignment horizontal="left" vertical="center"/>
    </xf>
    <xf numFmtId="3" fontId="9" fillId="0" borderId="0" xfId="1" applyNumberFormat="1" applyFont="1"/>
    <xf numFmtId="3" fontId="9" fillId="11" borderId="27" xfId="1" applyNumberFormat="1" applyFont="1" applyFill="1" applyBorder="1"/>
    <xf numFmtId="3" fontId="4" fillId="20" borderId="27" xfId="1" applyNumberFormat="1" applyFont="1" applyFill="1" applyBorder="1" applyAlignment="1">
      <alignment horizontal="center" vertical="center"/>
    </xf>
    <xf numFmtId="3" fontId="9" fillId="0" borderId="27" xfId="1" applyNumberFormat="1" applyFont="1" applyBorder="1"/>
    <xf numFmtId="3" fontId="9" fillId="0" borderId="27" xfId="1" applyNumberFormat="1" applyFont="1" applyFill="1" applyBorder="1"/>
    <xf numFmtId="3" fontId="9" fillId="14" borderId="27" xfId="1" applyNumberFormat="1" applyFont="1" applyFill="1" applyBorder="1"/>
    <xf numFmtId="3" fontId="9" fillId="0" borderId="0" xfId="1" applyNumberFormat="1" applyFont="1" applyBorder="1"/>
    <xf numFmtId="165" fontId="27" fillId="7" borderId="0" xfId="0" applyNumberFormat="1" applyFont="1" applyFill="1" applyBorder="1" applyAlignment="1">
      <alignment vertical="center" wrapText="1"/>
    </xf>
    <xf numFmtId="166" fontId="6" fillId="7" borderId="0" xfId="0" applyNumberFormat="1" applyFont="1" applyFill="1"/>
    <xf numFmtId="3" fontId="4" fillId="11" borderId="3" xfId="1" applyNumberFormat="1" applyFont="1" applyFill="1" applyBorder="1" applyAlignment="1">
      <alignment vertical="center"/>
    </xf>
    <xf numFmtId="3" fontId="4" fillId="20" borderId="38" xfId="1" applyNumberFormat="1" applyFont="1" applyFill="1" applyBorder="1" applyAlignment="1">
      <alignment horizontal="center" vertical="center"/>
    </xf>
    <xf numFmtId="3" fontId="9" fillId="11" borderId="31" xfId="1" applyNumberFormat="1" applyFont="1" applyFill="1" applyBorder="1"/>
    <xf numFmtId="3" fontId="6" fillId="3" borderId="0" xfId="0" applyNumberFormat="1" applyFont="1" applyFill="1" applyBorder="1"/>
    <xf numFmtId="0" fontId="6" fillId="9" borderId="0" xfId="0" applyFont="1" applyFill="1" applyBorder="1" applyAlignment="1">
      <alignment horizontal="center" vertical="center" wrapText="1"/>
    </xf>
    <xf numFmtId="0" fontId="6" fillId="9" borderId="0" xfId="0" applyFont="1" applyFill="1" applyBorder="1" applyAlignment="1">
      <alignment horizontal="center" vertical="center"/>
    </xf>
    <xf numFmtId="3" fontId="0" fillId="18" borderId="0" xfId="0" applyNumberFormat="1" applyFill="1" applyBorder="1"/>
    <xf numFmtId="0" fontId="0" fillId="18" borderId="0" xfId="0" applyFill="1" applyBorder="1"/>
    <xf numFmtId="3" fontId="6" fillId="18" borderId="0" xfId="0" applyNumberFormat="1" applyFont="1" applyFill="1" applyBorder="1"/>
    <xf numFmtId="0" fontId="2" fillId="18" borderId="0" xfId="0" applyFont="1" applyFill="1" applyBorder="1"/>
    <xf numFmtId="3" fontId="2" fillId="18" borderId="0" xfId="0" applyNumberFormat="1" applyFont="1" applyFill="1" applyBorder="1"/>
    <xf numFmtId="3" fontId="6" fillId="7" borderId="0" xfId="0" applyNumberFormat="1" applyFont="1" applyFill="1" applyBorder="1"/>
    <xf numFmtId="0" fontId="6" fillId="22" borderId="0" xfId="0" applyFont="1" applyFill="1"/>
    <xf numFmtId="3" fontId="6" fillId="22" borderId="0" xfId="0" applyNumberFormat="1" applyFont="1" applyFill="1"/>
    <xf numFmtId="3" fontId="6" fillId="22" borderId="0" xfId="0" applyNumberFormat="1" applyFont="1" applyFill="1" applyBorder="1"/>
    <xf numFmtId="0" fontId="6" fillId="22" borderId="0" xfId="0" applyFont="1" applyFill="1" applyBorder="1"/>
    <xf numFmtId="3" fontId="9" fillId="0" borderId="27" xfId="1" applyNumberFormat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horizontal="right"/>
    </xf>
    <xf numFmtId="3" fontId="23" fillId="11" borderId="27" xfId="1" applyNumberFormat="1" applyFont="1" applyFill="1" applyBorder="1"/>
    <xf numFmtId="3" fontId="4" fillId="9" borderId="3" xfId="1" applyNumberFormat="1" applyFont="1" applyFill="1" applyBorder="1"/>
    <xf numFmtId="0" fontId="6" fillId="9" borderId="0" xfId="0" applyFont="1" applyFill="1" applyBorder="1" applyAlignment="1">
      <alignment horizontal="center" vertical="center" wrapText="1"/>
    </xf>
    <xf numFmtId="3" fontId="6" fillId="8" borderId="39" xfId="1" applyNumberFormat="1" applyFont="1" applyFill="1" applyBorder="1"/>
    <xf numFmtId="3" fontId="4" fillId="23" borderId="37" xfId="1" applyNumberFormat="1" applyFont="1" applyFill="1" applyBorder="1" applyAlignment="1">
      <alignment horizontal="center" vertical="center" wrapText="1"/>
    </xf>
    <xf numFmtId="3" fontId="3" fillId="19" borderId="27" xfId="1" applyNumberFormat="1" applyFont="1" applyFill="1" applyBorder="1"/>
    <xf numFmtId="3" fontId="16" fillId="19" borderId="27" xfId="1" applyNumberFormat="1" applyFont="1" applyFill="1" applyBorder="1"/>
    <xf numFmtId="0" fontId="2" fillId="0" borderId="1" xfId="0" applyFont="1" applyBorder="1"/>
    <xf numFmtId="0" fontId="6" fillId="0" borderId="1" xfId="0" applyFont="1" applyBorder="1"/>
    <xf numFmtId="0" fontId="0" fillId="0" borderId="1" xfId="0" applyBorder="1"/>
    <xf numFmtId="0" fontId="6" fillId="3" borderId="1" xfId="0" applyFont="1" applyFill="1" applyBorder="1"/>
    <xf numFmtId="0" fontId="2" fillId="0" borderId="1" xfId="0" applyFont="1" applyBorder="1" applyAlignment="1">
      <alignment horizontal="right"/>
    </xf>
    <xf numFmtId="0" fontId="6" fillId="9" borderId="1" xfId="0" applyFont="1" applyFill="1" applyBorder="1" applyAlignment="1">
      <alignment vertical="center"/>
    </xf>
    <xf numFmtId="0" fontId="2" fillId="0" borderId="1" xfId="0" applyFont="1" applyBorder="1" applyAlignme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0" fontId="6" fillId="7" borderId="1" xfId="0" applyFont="1" applyFill="1" applyBorder="1"/>
    <xf numFmtId="0" fontId="6" fillId="22" borderId="1" xfId="0" applyFont="1" applyFill="1" applyBorder="1"/>
    <xf numFmtId="3" fontId="9" fillId="0" borderId="3" xfId="1" applyNumberFormat="1" applyFont="1" applyFill="1" applyBorder="1"/>
    <xf numFmtId="165" fontId="6" fillId="0" borderId="0" xfId="0" applyNumberFormat="1" applyFont="1" applyFill="1" applyBorder="1"/>
    <xf numFmtId="3" fontId="9" fillId="10" borderId="27" xfId="1" applyNumberFormat="1" applyFont="1" applyFill="1" applyBorder="1"/>
    <xf numFmtId="3" fontId="4" fillId="10" borderId="37" xfId="1" applyNumberFormat="1" applyFont="1" applyFill="1" applyBorder="1" applyAlignment="1">
      <alignment horizontal="center" vertical="center" wrapText="1"/>
    </xf>
    <xf numFmtId="3" fontId="11" fillId="10" borderId="27" xfId="1" applyNumberFormat="1" applyFont="1" applyFill="1" applyBorder="1"/>
    <xf numFmtId="3" fontId="5" fillId="10" borderId="3" xfId="1" applyNumberFormat="1" applyFont="1" applyFill="1" applyBorder="1"/>
    <xf numFmtId="3" fontId="4" fillId="10" borderId="27" xfId="1" applyNumberFormat="1" applyFont="1" applyFill="1" applyBorder="1"/>
    <xf numFmtId="3" fontId="4" fillId="10" borderId="3" xfId="1" applyNumberFormat="1" applyFont="1" applyFill="1" applyBorder="1"/>
    <xf numFmtId="3" fontId="9" fillId="0" borderId="0" xfId="1" applyNumberFormat="1" applyFont="1" applyFill="1" applyAlignment="1">
      <alignment horizontal="center"/>
    </xf>
    <xf numFmtId="3" fontId="9" fillId="11" borderId="27" xfId="1" applyNumberFormat="1" applyFont="1" applyFill="1" applyBorder="1" applyAlignment="1">
      <alignment horizontal="center"/>
    </xf>
    <xf numFmtId="3" fontId="9" fillId="19" borderId="27" xfId="1" applyNumberFormat="1" applyFont="1" applyFill="1" applyBorder="1" applyAlignment="1">
      <alignment horizontal="center"/>
    </xf>
    <xf numFmtId="3" fontId="9" fillId="14" borderId="27" xfId="1" applyNumberFormat="1" applyFont="1" applyFill="1" applyBorder="1" applyAlignment="1">
      <alignment horizontal="center"/>
    </xf>
    <xf numFmtId="3" fontId="4" fillId="9" borderId="3" xfId="1" applyNumberFormat="1" applyFont="1" applyFill="1" applyBorder="1" applyAlignment="1">
      <alignment horizontal="center" vertical="center"/>
    </xf>
    <xf numFmtId="3" fontId="4" fillId="19" borderId="3" xfId="1" applyNumberFormat="1" applyFont="1" applyFill="1" applyBorder="1" applyAlignment="1">
      <alignment horizontal="center"/>
    </xf>
    <xf numFmtId="3" fontId="4" fillId="14" borderId="3" xfId="1" applyNumberFormat="1" applyFont="1" applyFill="1" applyBorder="1" applyAlignment="1">
      <alignment horizontal="center"/>
    </xf>
    <xf numFmtId="3" fontId="4" fillId="9" borderId="3" xfId="1" applyNumberFormat="1" applyFont="1" applyFill="1" applyBorder="1" applyAlignment="1">
      <alignment horizontal="center"/>
    </xf>
    <xf numFmtId="3" fontId="4" fillId="13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center"/>
    </xf>
    <xf numFmtId="3" fontId="4" fillId="11" borderId="3" xfId="1" applyNumberFormat="1" applyFont="1" applyFill="1" applyBorder="1" applyAlignment="1">
      <alignment horizontal="center" vertical="center"/>
    </xf>
    <xf numFmtId="3" fontId="4" fillId="15" borderId="3" xfId="1" applyNumberFormat="1" applyFont="1" applyFill="1" applyBorder="1" applyAlignment="1">
      <alignment horizontal="center" vertical="center"/>
    </xf>
    <xf numFmtId="3" fontId="4" fillId="16" borderId="3" xfId="1" applyNumberFormat="1" applyFont="1" applyFill="1" applyBorder="1" applyAlignment="1">
      <alignment horizontal="center" vertical="center"/>
    </xf>
    <xf numFmtId="3" fontId="4" fillId="8" borderId="39" xfId="1" applyNumberFormat="1" applyFont="1" applyFill="1" applyBorder="1" applyAlignment="1">
      <alignment horizontal="center"/>
    </xf>
    <xf numFmtId="3" fontId="9" fillId="0" borderId="0" xfId="1" applyNumberFormat="1" applyFont="1" applyAlignment="1">
      <alignment horizontal="center"/>
    </xf>
    <xf numFmtId="0" fontId="0" fillId="0" borderId="0" xfId="0"/>
    <xf numFmtId="0" fontId="6" fillId="9" borderId="20" xfId="0" applyFont="1" applyFill="1" applyBorder="1" applyAlignment="1">
      <alignment horizontal="center" vertical="center" wrapText="1"/>
    </xf>
    <xf numFmtId="3" fontId="6" fillId="3" borderId="20" xfId="0" applyNumberFormat="1" applyFont="1" applyFill="1" applyBorder="1"/>
    <xf numFmtId="3" fontId="0" fillId="0" borderId="20" xfId="0" applyNumberFormat="1" applyFill="1" applyBorder="1"/>
    <xf numFmtId="0" fontId="0" fillId="0" borderId="20" xfId="0" applyFill="1" applyBorder="1"/>
    <xf numFmtId="3" fontId="3" fillId="0" borderId="20" xfId="0" applyNumberFormat="1" applyFont="1" applyFill="1" applyBorder="1"/>
    <xf numFmtId="3" fontId="6" fillId="0" borderId="20" xfId="0" applyNumberFormat="1" applyFont="1" applyFill="1" applyBorder="1"/>
    <xf numFmtId="3" fontId="6" fillId="7" borderId="20" xfId="0" applyNumberFormat="1" applyFont="1" applyFill="1" applyBorder="1"/>
    <xf numFmtId="0" fontId="0" fillId="0" borderId="20" xfId="0" applyBorder="1"/>
    <xf numFmtId="3" fontId="6" fillId="22" borderId="20" xfId="0" applyNumberFormat="1" applyFont="1" applyFill="1" applyBorder="1"/>
    <xf numFmtId="3" fontId="2" fillId="0" borderId="20" xfId="0" applyNumberFormat="1" applyFont="1" applyFill="1" applyBorder="1"/>
    <xf numFmtId="165" fontId="2" fillId="0" borderId="0" xfId="0" applyNumberFormat="1" applyFont="1" applyFill="1" applyBorder="1"/>
    <xf numFmtId="0" fontId="0" fillId="0" borderId="0" xfId="0"/>
    <xf numFmtId="0" fontId="0" fillId="0" borderId="0" xfId="0"/>
    <xf numFmtId="3" fontId="4" fillId="20" borderId="20" xfId="1" applyNumberFormat="1" applyFont="1" applyFill="1" applyBorder="1" applyAlignment="1">
      <alignment horizontal="center" vertical="center"/>
    </xf>
    <xf numFmtId="3" fontId="9" fillId="11" borderId="20" xfId="1" applyNumberFormat="1" applyFont="1" applyFill="1" applyBorder="1" applyAlignment="1">
      <alignment horizontal="center"/>
    </xf>
    <xf numFmtId="3" fontId="9" fillId="19" borderId="20" xfId="1" applyNumberFormat="1" applyFont="1" applyFill="1" applyBorder="1" applyAlignment="1">
      <alignment horizontal="center"/>
    </xf>
    <xf numFmtId="3" fontId="9" fillId="14" borderId="20" xfId="1" applyNumberFormat="1" applyFont="1" applyFill="1" applyBorder="1" applyAlignment="1">
      <alignment horizontal="center"/>
    </xf>
    <xf numFmtId="0" fontId="3" fillId="0" borderId="0" xfId="6"/>
    <xf numFmtId="3" fontId="3" fillId="26" borderId="16" xfId="6" applyNumberFormat="1" applyFill="1" applyBorder="1" applyAlignment="1">
      <alignment horizontal="center" vertical="center"/>
    </xf>
    <xf numFmtId="0" fontId="3" fillId="0" borderId="16" xfId="6" applyBorder="1"/>
    <xf numFmtId="0" fontId="3" fillId="26" borderId="17" xfId="6" applyFill="1" applyBorder="1" applyAlignment="1">
      <alignment horizontal="center" vertical="center"/>
    </xf>
    <xf numFmtId="0" fontId="3" fillId="0" borderId="17" xfId="6" applyBorder="1"/>
    <xf numFmtId="3" fontId="3" fillId="26" borderId="17" xfId="6" applyNumberFormat="1" applyFill="1" applyBorder="1" applyAlignment="1">
      <alignment horizontal="center" vertical="center"/>
    </xf>
    <xf numFmtId="3" fontId="3" fillId="0" borderId="0" xfId="6" applyNumberFormat="1"/>
    <xf numFmtId="0" fontId="3" fillId="26" borderId="17" xfId="6" applyFill="1" applyBorder="1"/>
    <xf numFmtId="0" fontId="3" fillId="26" borderId="18" xfId="6" applyFill="1" applyBorder="1"/>
    <xf numFmtId="0" fontId="3" fillId="26" borderId="22" xfId="6" applyFill="1" applyBorder="1" applyAlignment="1"/>
    <xf numFmtId="0" fontId="3" fillId="26" borderId="47" xfId="6" applyFill="1" applyBorder="1" applyAlignment="1"/>
    <xf numFmtId="0" fontId="3" fillId="0" borderId="0" xfId="6" applyBorder="1" applyAlignment="1">
      <alignment horizontal="center"/>
    </xf>
    <xf numFmtId="167" fontId="0" fillId="0" borderId="0" xfId="0" applyNumberFormat="1"/>
    <xf numFmtId="3" fontId="9" fillId="10" borderId="0" xfId="1" applyNumberFormat="1" applyFont="1" applyFill="1" applyBorder="1"/>
    <xf numFmtId="3" fontId="9" fillId="0" borderId="20" xfId="1" applyNumberFormat="1" applyFont="1" applyBorder="1"/>
    <xf numFmtId="3" fontId="4" fillId="20" borderId="20" xfId="1" applyNumberFormat="1" applyFont="1" applyFill="1" applyBorder="1" applyAlignment="1">
      <alignment horizontal="left" vertical="center"/>
    </xf>
    <xf numFmtId="3" fontId="11" fillId="10" borderId="0" xfId="1" applyNumberFormat="1" applyFont="1" applyFill="1" applyBorder="1"/>
    <xf numFmtId="3" fontId="9" fillId="0" borderId="0" xfId="1" applyNumberFormat="1" applyFont="1" applyFill="1" applyBorder="1" applyAlignment="1">
      <alignment horizontal="center"/>
    </xf>
    <xf numFmtId="3" fontId="9" fillId="10" borderId="27" xfId="1" applyNumberFormat="1" applyFont="1" applyFill="1" applyBorder="1" applyAlignment="1">
      <alignment horizontal="center"/>
    </xf>
    <xf numFmtId="3" fontId="11" fillId="14" borderId="27" xfId="1" applyNumberFormat="1" applyFont="1" applyFill="1" applyBorder="1" applyAlignment="1">
      <alignment horizontal="center"/>
    </xf>
    <xf numFmtId="0" fontId="4" fillId="5" borderId="0" xfId="1" applyFont="1" applyFill="1" applyBorder="1" applyAlignment="1">
      <alignment horizontal="left" vertical="center" wrapText="1"/>
    </xf>
    <xf numFmtId="3" fontId="9" fillId="10" borderId="33" xfId="1" applyNumberFormat="1" applyFont="1" applyFill="1" applyBorder="1"/>
    <xf numFmtId="3" fontId="9" fillId="10" borderId="31" xfId="1" applyNumberFormat="1" applyFont="1" applyFill="1" applyBorder="1"/>
    <xf numFmtId="49" fontId="8" fillId="0" borderId="0" xfId="1" quotePrefix="1" applyNumberFormat="1" applyFont="1" applyFill="1" applyBorder="1" applyAlignment="1">
      <alignment horizontal="right" wrapText="1"/>
    </xf>
    <xf numFmtId="3" fontId="28" fillId="0" borderId="0" xfId="1" applyNumberFormat="1" applyFont="1" applyFill="1" applyAlignment="1">
      <alignment horizontal="right"/>
    </xf>
    <xf numFmtId="3" fontId="11" fillId="0" borderId="0" xfId="1" applyNumberFormat="1" applyFont="1" applyFill="1" applyBorder="1"/>
    <xf numFmtId="3" fontId="11" fillId="11" borderId="0" xfId="1" applyNumberFormat="1" applyFont="1" applyFill="1" applyBorder="1"/>
    <xf numFmtId="3" fontId="11" fillId="19" borderId="0" xfId="1" applyNumberFormat="1" applyFont="1" applyFill="1" applyBorder="1"/>
    <xf numFmtId="3" fontId="11" fillId="14" borderId="0" xfId="1" applyNumberFormat="1" applyFont="1" applyFill="1" applyBorder="1"/>
    <xf numFmtId="3" fontId="4" fillId="20" borderId="0" xfId="1" applyNumberFormat="1" applyFont="1" applyFill="1" applyBorder="1" applyAlignment="1">
      <alignment horizontal="left" vertical="center"/>
    </xf>
    <xf numFmtId="3" fontId="4" fillId="11" borderId="1" xfId="1" applyNumberFormat="1" applyFont="1" applyFill="1" applyBorder="1" applyAlignment="1">
      <alignment horizontal="center" wrapText="1"/>
    </xf>
    <xf numFmtId="3" fontId="11" fillId="11" borderId="1" xfId="1" applyNumberFormat="1" applyFont="1" applyFill="1" applyBorder="1" applyAlignment="1">
      <alignment horizontal="center" wrapText="1"/>
    </xf>
    <xf numFmtId="3" fontId="19" fillId="10" borderId="27" xfId="1" applyNumberFormat="1" applyFont="1" applyFill="1" applyBorder="1"/>
    <xf numFmtId="0" fontId="5" fillId="15" borderId="13" xfId="1" applyFont="1" applyFill="1" applyBorder="1" applyAlignment="1">
      <alignment vertical="center" wrapText="1"/>
    </xf>
    <xf numFmtId="0" fontId="0" fillId="0" borderId="0" xfId="0"/>
    <xf numFmtId="0" fontId="0" fillId="0" borderId="0" xfId="0"/>
    <xf numFmtId="3" fontId="3" fillId="26" borderId="0" xfId="6" applyNumberFormat="1" applyFill="1" applyBorder="1" applyAlignment="1">
      <alignment horizontal="center" vertical="center"/>
    </xf>
    <xf numFmtId="0" fontId="3" fillId="26" borderId="0" xfId="6" applyFill="1" applyBorder="1" applyAlignment="1">
      <alignment horizontal="center" vertical="center"/>
    </xf>
    <xf numFmtId="1" fontId="8" fillId="26" borderId="0" xfId="6" applyNumberFormat="1" applyFont="1" applyFill="1" applyBorder="1" applyAlignment="1">
      <alignment horizontal="center" vertical="center"/>
    </xf>
    <xf numFmtId="3" fontId="9" fillId="0" borderId="33" xfId="1" applyNumberFormat="1" applyFont="1" applyBorder="1"/>
    <xf numFmtId="0" fontId="0" fillId="0" borderId="0" xfId="0"/>
    <xf numFmtId="0" fontId="6" fillId="9" borderId="1" xfId="0" applyFont="1" applyFill="1" applyBorder="1" applyAlignment="1">
      <alignment horizontal="center" vertical="center" wrapText="1"/>
    </xf>
    <xf numFmtId="3" fontId="2" fillId="25" borderId="20" xfId="0" applyNumberFormat="1" applyFont="1" applyFill="1" applyBorder="1"/>
    <xf numFmtId="3" fontId="2" fillId="25" borderId="1" xfId="0" applyNumberFormat="1" applyFont="1" applyFill="1" applyBorder="1"/>
    <xf numFmtId="165" fontId="2" fillId="0" borderId="20" xfId="0" applyNumberFormat="1" applyFont="1" applyFill="1" applyBorder="1"/>
    <xf numFmtId="165" fontId="6" fillId="16" borderId="20" xfId="0" applyNumberFormat="1" applyFont="1" applyFill="1" applyBorder="1"/>
    <xf numFmtId="165" fontId="6" fillId="16" borderId="1" xfId="0" applyNumberFormat="1" applyFont="1" applyFill="1" applyBorder="1"/>
    <xf numFmtId="0" fontId="0" fillId="0" borderId="1" xfId="0" applyFill="1" applyBorder="1"/>
    <xf numFmtId="3" fontId="6" fillId="3" borderId="1" xfId="0" applyNumberFormat="1" applyFont="1" applyFill="1" applyBorder="1"/>
    <xf numFmtId="0" fontId="2" fillId="25" borderId="20" xfId="0" applyFont="1" applyFill="1" applyBorder="1"/>
    <xf numFmtId="3" fontId="6" fillId="0" borderId="1" xfId="0" applyNumberFormat="1" applyFont="1" applyFill="1" applyBorder="1"/>
    <xf numFmtId="165" fontId="6" fillId="7" borderId="20" xfId="0" applyNumberFormat="1" applyFont="1" applyFill="1" applyBorder="1"/>
    <xf numFmtId="165" fontId="6" fillId="7" borderId="1" xfId="0" applyNumberFormat="1" applyFont="1" applyFill="1" applyBorder="1"/>
    <xf numFmtId="3" fontId="6" fillId="22" borderId="11" xfId="0" applyNumberFormat="1" applyFont="1" applyFill="1" applyBorder="1"/>
    <xf numFmtId="3" fontId="6" fillId="22" borderId="31" xfId="0" applyNumberFormat="1" applyFont="1" applyFill="1" applyBorder="1"/>
    <xf numFmtId="3" fontId="0" fillId="25" borderId="1" xfId="0" applyNumberFormat="1" applyFill="1" applyBorder="1"/>
    <xf numFmtId="165" fontId="17" fillId="3" borderId="20" xfId="0" applyNumberFormat="1" applyFont="1" applyFill="1" applyBorder="1"/>
    <xf numFmtId="165" fontId="6" fillId="3" borderId="1" xfId="0" applyNumberFormat="1" applyFont="1" applyFill="1" applyBorder="1"/>
    <xf numFmtId="165" fontId="0" fillId="25" borderId="1" xfId="0" applyNumberFormat="1" applyFill="1" applyBorder="1"/>
    <xf numFmtId="3" fontId="6" fillId="7" borderId="1" xfId="0" applyNumberFormat="1" applyFont="1" applyFill="1" applyBorder="1"/>
    <xf numFmtId="165" fontId="2" fillId="25" borderId="20" xfId="0" applyNumberFormat="1" applyFont="1" applyFill="1" applyBorder="1"/>
    <xf numFmtId="0" fontId="0" fillId="25" borderId="20" xfId="0" applyFill="1" applyBorder="1"/>
    <xf numFmtId="3" fontId="6" fillId="16" borderId="1" xfId="0" applyNumberFormat="1" applyFont="1" applyFill="1" applyBorder="1"/>
    <xf numFmtId="1" fontId="0" fillId="25" borderId="1" xfId="0" applyNumberFormat="1" applyFill="1" applyBorder="1"/>
    <xf numFmtId="1" fontId="0" fillId="7" borderId="1" xfId="0" applyNumberFormat="1" applyFill="1" applyBorder="1"/>
    <xf numFmtId="3" fontId="0" fillId="22" borderId="12" xfId="0" applyNumberFormat="1" applyFill="1" applyBorder="1"/>
    <xf numFmtId="3" fontId="3" fillId="0" borderId="43" xfId="6" applyNumberFormat="1" applyBorder="1" applyAlignment="1">
      <alignment horizontal="center" vertical="center"/>
    </xf>
    <xf numFmtId="0" fontId="8" fillId="26" borderId="6" xfId="6" applyFont="1" applyFill="1" applyBorder="1" applyAlignment="1">
      <alignment horizontal="center" vertical="center"/>
    </xf>
    <xf numFmtId="0" fontId="8" fillId="26" borderId="18" xfId="6" applyFont="1" applyFill="1" applyBorder="1" applyAlignment="1">
      <alignment horizontal="center" vertical="center"/>
    </xf>
    <xf numFmtId="3" fontId="3" fillId="0" borderId="43" xfId="6" applyNumberFormat="1" applyFill="1" applyBorder="1" applyAlignment="1">
      <alignment horizontal="center" vertical="center"/>
    </xf>
    <xf numFmtId="1" fontId="8" fillId="26" borderId="17" xfId="6" applyNumberFormat="1" applyFont="1" applyFill="1" applyBorder="1" applyAlignment="1">
      <alignment horizontal="center" vertical="center"/>
    </xf>
    <xf numFmtId="0" fontId="4" fillId="5" borderId="50" xfId="1" applyFont="1" applyFill="1" applyBorder="1" applyAlignment="1">
      <alignment horizontal="left" vertical="center" wrapText="1"/>
    </xf>
    <xf numFmtId="0" fontId="4" fillId="5" borderId="20" xfId="1" applyFont="1" applyFill="1" applyBorder="1" applyAlignment="1">
      <alignment horizontal="left" vertical="center" wrapText="1"/>
    </xf>
    <xf numFmtId="3" fontId="9" fillId="0" borderId="33" xfId="1" applyNumberFormat="1" applyFont="1" applyFill="1" applyBorder="1"/>
    <xf numFmtId="3" fontId="4" fillId="0" borderId="27" xfId="1" applyNumberFormat="1" applyFont="1" applyFill="1" applyBorder="1" applyAlignment="1">
      <alignment horizontal="center" wrapText="1"/>
    </xf>
    <xf numFmtId="3" fontId="11" fillId="0" borderId="27" xfId="1" applyNumberFormat="1" applyFont="1" applyFill="1" applyBorder="1" applyAlignment="1">
      <alignment horizontal="center" wrapText="1"/>
    </xf>
    <xf numFmtId="3" fontId="5" fillId="0" borderId="27" xfId="1" applyNumberFormat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horizontal="center"/>
    </xf>
    <xf numFmtId="3" fontId="5" fillId="0" borderId="27" xfId="1" applyNumberFormat="1" applyFont="1" applyFill="1" applyBorder="1" applyAlignment="1">
      <alignment horizontal="center" wrapText="1"/>
    </xf>
    <xf numFmtId="3" fontId="4" fillId="0" borderId="31" xfId="1" applyNumberFormat="1" applyFont="1" applyFill="1" applyBorder="1" applyAlignment="1">
      <alignment horizontal="center" wrapText="1"/>
    </xf>
    <xf numFmtId="3" fontId="11" fillId="0" borderId="33" xfId="1" applyNumberFormat="1" applyFont="1" applyFill="1" applyBorder="1"/>
    <xf numFmtId="3" fontId="11" fillId="0" borderId="31" xfId="1" applyNumberFormat="1" applyFont="1" applyFill="1" applyBorder="1"/>
    <xf numFmtId="3" fontId="5" fillId="0" borderId="3" xfId="1" applyNumberFormat="1" applyFont="1" applyFill="1" applyBorder="1"/>
    <xf numFmtId="3" fontId="11" fillId="0" borderId="27" xfId="1" applyNumberFormat="1" applyFont="1" applyFill="1" applyBorder="1" applyAlignment="1">
      <alignment horizontal="center" vertical="top" wrapText="1"/>
    </xf>
    <xf numFmtId="3" fontId="4" fillId="0" borderId="27" xfId="1" applyNumberFormat="1" applyFont="1" applyFill="1" applyBorder="1" applyAlignment="1">
      <alignment horizontal="right" wrapText="1"/>
    </xf>
    <xf numFmtId="167" fontId="5" fillId="0" borderId="27" xfId="1" applyNumberFormat="1" applyFont="1" applyFill="1" applyBorder="1" applyAlignment="1">
      <alignment horizontal="center" wrapText="1"/>
    </xf>
    <xf numFmtId="3" fontId="5" fillId="0" borderId="27" xfId="1" applyNumberFormat="1" applyFont="1" applyFill="1" applyBorder="1" applyAlignment="1">
      <alignment horizontal="right"/>
    </xf>
    <xf numFmtId="3" fontId="5" fillId="0" borderId="27" xfId="1" applyNumberFormat="1" applyFont="1" applyFill="1" applyBorder="1" applyAlignment="1">
      <alignment horizontal="center" vertical="top" wrapText="1"/>
    </xf>
    <xf numFmtId="3" fontId="11" fillId="0" borderId="31" xfId="1" applyNumberFormat="1" applyFont="1" applyFill="1" applyBorder="1" applyAlignment="1">
      <alignment horizontal="center" wrapText="1"/>
    </xf>
    <xf numFmtId="3" fontId="11" fillId="0" borderId="27" xfId="1" applyNumberFormat="1" applyFont="1" applyFill="1" applyBorder="1" applyAlignment="1">
      <alignment horizontal="right" wrapText="1"/>
    </xf>
    <xf numFmtId="0" fontId="5" fillId="0" borderId="0" xfId="1" applyFont="1" applyFill="1" applyBorder="1" applyAlignment="1">
      <alignment vertical="top" wrapText="1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27" xfId="1" applyNumberFormat="1" applyFont="1" applyFill="1" applyBorder="1" applyAlignment="1">
      <alignment horizontal="right" vertical="top" wrapText="1"/>
    </xf>
    <xf numFmtId="49" fontId="9" fillId="11" borderId="0" xfId="1" applyNumberFormat="1" applyFont="1" applyFill="1" applyBorder="1" applyAlignment="1">
      <alignment vertical="top" wrapText="1"/>
    </xf>
    <xf numFmtId="49" fontId="4" fillId="11" borderId="0" xfId="1" applyNumberFormat="1" applyFont="1" applyFill="1" applyBorder="1" applyAlignment="1">
      <alignment vertical="top" wrapText="1"/>
    </xf>
    <xf numFmtId="49" fontId="11" fillId="11" borderId="0" xfId="1" applyNumberFormat="1" applyFont="1" applyFill="1" applyBorder="1" applyAlignment="1">
      <alignment vertical="top" wrapText="1"/>
    </xf>
    <xf numFmtId="49" fontId="5" fillId="19" borderId="0" xfId="0" applyNumberFormat="1" applyFont="1" applyFill="1" applyBorder="1"/>
    <xf numFmtId="3" fontId="16" fillId="19" borderId="1" xfId="1" applyNumberFormat="1" applyFont="1" applyFill="1" applyBorder="1"/>
    <xf numFmtId="3" fontId="6" fillId="19" borderId="12" xfId="1" applyNumberFormat="1" applyFont="1" applyFill="1" applyBorder="1"/>
    <xf numFmtId="3" fontId="3" fillId="19" borderId="0" xfId="1" applyNumberFormat="1" applyFont="1" applyFill="1" applyBorder="1"/>
    <xf numFmtId="3" fontId="3" fillId="19" borderId="13" xfId="1" applyNumberFormat="1" applyFont="1" applyFill="1" applyBorder="1"/>
    <xf numFmtId="3" fontId="6" fillId="14" borderId="27" xfId="1" applyNumberFormat="1" applyFont="1" applyFill="1" applyBorder="1"/>
    <xf numFmtId="3" fontId="9" fillId="27" borderId="1" xfId="1" applyNumberFormat="1" applyFont="1" applyFill="1" applyBorder="1"/>
    <xf numFmtId="3" fontId="9" fillId="27" borderId="1" xfId="1" applyNumberFormat="1" applyFont="1" applyFill="1" applyBorder="1" applyAlignment="1">
      <alignment horizontal="center"/>
    </xf>
    <xf numFmtId="3" fontId="9" fillId="27" borderId="12" xfId="1" applyNumberFormat="1" applyFont="1" applyFill="1" applyBorder="1" applyAlignment="1">
      <alignment horizontal="center"/>
    </xf>
    <xf numFmtId="3" fontId="9" fillId="27" borderId="27" xfId="1" applyNumberFormat="1" applyFont="1" applyFill="1" applyBorder="1"/>
    <xf numFmtId="3" fontId="11" fillId="27" borderId="27" xfId="1" applyNumberFormat="1" applyFont="1" applyFill="1" applyBorder="1"/>
    <xf numFmtId="3" fontId="9" fillId="27" borderId="31" xfId="1" applyNumberFormat="1" applyFont="1" applyFill="1" applyBorder="1"/>
    <xf numFmtId="3" fontId="5" fillId="27" borderId="3" xfId="1" applyNumberFormat="1" applyFont="1" applyFill="1" applyBorder="1"/>
    <xf numFmtId="3" fontId="4" fillId="27" borderId="27" xfId="1" applyNumberFormat="1" applyFont="1" applyFill="1" applyBorder="1"/>
    <xf numFmtId="3" fontId="4" fillId="27" borderId="3" xfId="1" applyNumberFormat="1" applyFont="1" applyFill="1" applyBorder="1"/>
    <xf numFmtId="3" fontId="9" fillId="28" borderId="27" xfId="1" applyNumberFormat="1" applyFont="1" applyFill="1" applyBorder="1" applyAlignment="1">
      <alignment horizontal="center"/>
    </xf>
    <xf numFmtId="3" fontId="4" fillId="28" borderId="3" xfId="1" applyNumberFormat="1" applyFont="1" applyFill="1" applyBorder="1" applyAlignment="1">
      <alignment horizontal="center"/>
    </xf>
    <xf numFmtId="3" fontId="4" fillId="28" borderId="37" xfId="1" applyNumberFormat="1" applyFont="1" applyFill="1" applyBorder="1" applyAlignment="1">
      <alignment horizontal="center" vertical="center" wrapText="1"/>
    </xf>
    <xf numFmtId="3" fontId="4" fillId="14" borderId="37" xfId="1" applyNumberFormat="1" applyFont="1" applyFill="1" applyBorder="1" applyAlignment="1">
      <alignment horizontal="center" vertical="center" wrapText="1"/>
    </xf>
    <xf numFmtId="3" fontId="4" fillId="14" borderId="27" xfId="1" applyNumberFormat="1" applyFont="1" applyFill="1" applyBorder="1"/>
    <xf numFmtId="10" fontId="9" fillId="14" borderId="27" xfId="1" applyNumberFormat="1" applyFont="1" applyFill="1" applyBorder="1"/>
    <xf numFmtId="3" fontId="4" fillId="14" borderId="3" xfId="1" applyNumberFormat="1" applyFont="1" applyFill="1" applyBorder="1"/>
    <xf numFmtId="3" fontId="4" fillId="28" borderId="3" xfId="0" applyNumberFormat="1" applyFont="1" applyFill="1" applyBorder="1" applyAlignment="1">
      <alignment horizontal="center"/>
    </xf>
    <xf numFmtId="0" fontId="6" fillId="7" borderId="14" xfId="0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center" vertical="center" wrapText="1"/>
    </xf>
    <xf numFmtId="0" fontId="0" fillId="16" borderId="4" xfId="0" applyFill="1" applyBorder="1"/>
    <xf numFmtId="0" fontId="0" fillId="16" borderId="17" xfId="0" applyFill="1" applyBorder="1"/>
    <xf numFmtId="165" fontId="0" fillId="16" borderId="4" xfId="0" applyNumberFormat="1" applyFill="1" applyBorder="1"/>
    <xf numFmtId="166" fontId="0" fillId="16" borderId="17" xfId="0" applyNumberFormat="1" applyFill="1" applyBorder="1"/>
    <xf numFmtId="165" fontId="6" fillId="7" borderId="4" xfId="0" applyNumberFormat="1" applyFont="1" applyFill="1" applyBorder="1"/>
    <xf numFmtId="166" fontId="6" fillId="7" borderId="17" xfId="0" applyNumberFormat="1" applyFont="1" applyFill="1" applyBorder="1"/>
    <xf numFmtId="165" fontId="6" fillId="7" borderId="5" xfId="0" applyNumberFormat="1" applyFont="1" applyFill="1" applyBorder="1"/>
    <xf numFmtId="166" fontId="6" fillId="7" borderId="18" xfId="0" applyNumberFormat="1" applyFont="1" applyFill="1" applyBorder="1"/>
    <xf numFmtId="0" fontId="0" fillId="0" borderId="0" xfId="0"/>
    <xf numFmtId="1" fontId="8" fillId="26" borderId="16" xfId="6" applyNumberFormat="1" applyFont="1" applyFill="1" applyBorder="1" applyAlignment="1">
      <alignment horizontal="center" vertical="center"/>
    </xf>
    <xf numFmtId="1" fontId="8" fillId="26" borderId="18" xfId="6" applyNumberFormat="1" applyFont="1" applyFill="1" applyBorder="1" applyAlignment="1">
      <alignment horizontal="center" vertical="center"/>
    </xf>
    <xf numFmtId="0" fontId="8" fillId="26" borderId="15" xfId="6" applyFont="1" applyFill="1" applyBorder="1" applyAlignment="1">
      <alignment horizontal="center" vertical="center"/>
    </xf>
    <xf numFmtId="0" fontId="8" fillId="26" borderId="16" xfId="6" applyFont="1" applyFill="1" applyBorder="1" applyAlignment="1">
      <alignment horizontal="center" vertical="center"/>
    </xf>
    <xf numFmtId="0" fontId="3" fillId="25" borderId="20" xfId="0" applyFont="1" applyFill="1" applyBorder="1"/>
    <xf numFmtId="3" fontId="30" fillId="25" borderId="20" xfId="5" applyNumberFormat="1" applyFont="1" applyFill="1" applyBorder="1"/>
    <xf numFmtId="0" fontId="0" fillId="0" borderId="0" xfId="0"/>
    <xf numFmtId="0" fontId="0" fillId="0" borderId="0" xfId="0" applyBorder="1" applyAlignment="1">
      <alignment horizontal="center" vertical="center"/>
    </xf>
    <xf numFmtId="3" fontId="9" fillId="21" borderId="27" xfId="1" applyNumberFormat="1" applyFont="1" applyFill="1" applyBorder="1"/>
    <xf numFmtId="0" fontId="4" fillId="5" borderId="0" xfId="1" applyFont="1" applyFill="1" applyBorder="1" applyAlignment="1">
      <alignment horizontal="center" vertical="center" wrapText="1"/>
    </xf>
    <xf numFmtId="3" fontId="9" fillId="28" borderId="0" xfId="1" applyNumberFormat="1" applyFont="1" applyFill="1" applyBorder="1"/>
    <xf numFmtId="3" fontId="9" fillId="28" borderId="0" xfId="1" applyNumberFormat="1" applyFont="1" applyFill="1" applyBorder="1" applyAlignment="1">
      <alignment horizontal="center"/>
    </xf>
    <xf numFmtId="3" fontId="11" fillId="28" borderId="0" xfId="1" applyNumberFormat="1" applyFont="1" applyFill="1" applyBorder="1"/>
    <xf numFmtId="3" fontId="9" fillId="28" borderId="27" xfId="1" applyNumberFormat="1" applyFont="1" applyFill="1" applyBorder="1"/>
    <xf numFmtId="3" fontId="4" fillId="28" borderId="27" xfId="1" applyNumberFormat="1" applyFont="1" applyFill="1" applyBorder="1"/>
    <xf numFmtId="3" fontId="11" fillId="28" borderId="27" xfId="1" applyNumberFormat="1" applyFont="1" applyFill="1" applyBorder="1"/>
    <xf numFmtId="3" fontId="9" fillId="0" borderId="33" xfId="1" applyNumberFormat="1" applyFont="1" applyBorder="1" applyAlignment="1">
      <alignment horizontal="center"/>
    </xf>
    <xf numFmtId="3" fontId="9" fillId="28" borderId="27" xfId="0" applyNumberFormat="1" applyFont="1" applyFill="1" applyBorder="1" applyAlignment="1">
      <alignment horizontal="center"/>
    </xf>
    <xf numFmtId="3" fontId="4" fillId="15" borderId="33" xfId="1" applyNumberFormat="1" applyFont="1" applyFill="1" applyBorder="1" applyAlignment="1">
      <alignment horizontal="center" vertical="center"/>
    </xf>
    <xf numFmtId="3" fontId="4" fillId="15" borderId="27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/>
    </xf>
    <xf numFmtId="3" fontId="6" fillId="8" borderId="39" xfId="1" applyNumberFormat="1" applyFont="1" applyFill="1" applyBorder="1" applyAlignment="1">
      <alignment horizontal="center"/>
    </xf>
    <xf numFmtId="3" fontId="3" fillId="26" borderId="15" xfId="6" applyNumberFormat="1" applyFill="1" applyBorder="1" applyAlignment="1">
      <alignment horizontal="center" vertical="center"/>
    </xf>
    <xf numFmtId="3" fontId="3" fillId="0" borderId="45" xfId="6" applyNumberFormat="1" applyBorder="1" applyAlignment="1">
      <alignment horizontal="center" vertical="center"/>
    </xf>
    <xf numFmtId="3" fontId="3" fillId="0" borderId="0" xfId="6" applyNumberFormat="1" applyFill="1" applyBorder="1" applyAlignment="1">
      <alignment horizontal="center" vertical="center"/>
    </xf>
    <xf numFmtId="3" fontId="3" fillId="0" borderId="13" xfId="6" applyNumberFormat="1" applyFill="1" applyBorder="1" applyAlignment="1">
      <alignment horizontal="center" vertical="center"/>
    </xf>
    <xf numFmtId="1" fontId="8" fillId="26" borderId="15" xfId="6" applyNumberFormat="1" applyFont="1" applyFill="1" applyBorder="1" applyAlignment="1">
      <alignment horizontal="center" vertical="center"/>
    </xf>
    <xf numFmtId="1" fontId="8" fillId="26" borderId="6" xfId="6" applyNumberFormat="1" applyFont="1" applyFill="1" applyBorder="1" applyAlignment="1">
      <alignment horizontal="center" vertical="center"/>
    </xf>
    <xf numFmtId="3" fontId="3" fillId="10" borderId="0" xfId="0" applyNumberFormat="1" applyFont="1" applyFill="1" applyAlignment="1">
      <alignment horizontal="center"/>
    </xf>
    <xf numFmtId="3" fontId="9" fillId="10" borderId="0" xfId="0" applyNumberFormat="1" applyFont="1" applyFill="1" applyAlignment="1">
      <alignment horizontal="center"/>
    </xf>
    <xf numFmtId="3" fontId="9" fillId="10" borderId="27" xfId="0" applyNumberFormat="1" applyFont="1" applyFill="1" applyBorder="1" applyAlignment="1">
      <alignment horizontal="center"/>
    </xf>
    <xf numFmtId="3" fontId="9" fillId="10" borderId="31" xfId="0" applyNumberFormat="1" applyFont="1" applyFill="1" applyBorder="1" applyAlignment="1">
      <alignment horizontal="center"/>
    </xf>
    <xf numFmtId="3" fontId="4" fillId="10" borderId="3" xfId="0" applyNumberFormat="1" applyFont="1" applyFill="1" applyBorder="1" applyAlignment="1">
      <alignment horizontal="center"/>
    </xf>
    <xf numFmtId="3" fontId="4" fillId="10" borderId="3" xfId="1" applyNumberFormat="1" applyFont="1" applyFill="1" applyBorder="1" applyAlignment="1">
      <alignment horizontal="center"/>
    </xf>
    <xf numFmtId="3" fontId="4" fillId="10" borderId="27" xfId="1" applyNumberFormat="1" applyFont="1" applyFill="1" applyBorder="1" applyAlignment="1">
      <alignment horizontal="center"/>
    </xf>
    <xf numFmtId="3" fontId="3" fillId="0" borderId="43" xfId="6" applyNumberFormat="1" applyBorder="1" applyAlignment="1">
      <alignment horizontal="center" vertical="center"/>
    </xf>
    <xf numFmtId="0" fontId="0" fillId="0" borderId="0" xfId="0"/>
    <xf numFmtId="3" fontId="3" fillId="0" borderId="8" xfId="6" applyNumberFormat="1" applyFill="1" applyBorder="1" applyAlignment="1">
      <alignment horizontal="center" vertical="center"/>
    </xf>
    <xf numFmtId="0" fontId="0" fillId="0" borderId="0" xfId="0"/>
    <xf numFmtId="0" fontId="31" fillId="0" borderId="0" xfId="1" applyFont="1" applyFill="1"/>
    <xf numFmtId="0" fontId="3" fillId="0" borderId="28" xfId="6" applyBorder="1" applyAlignment="1">
      <alignment horizontal="center" vertical="center"/>
    </xf>
    <xf numFmtId="3" fontId="8" fillId="0" borderId="28" xfId="6" applyNumberFormat="1" applyFont="1" applyBorder="1" applyAlignment="1">
      <alignment horizontal="center" vertical="center"/>
    </xf>
    <xf numFmtId="0" fontId="8" fillId="0" borderId="28" xfId="6" applyFont="1" applyBorder="1" applyAlignment="1">
      <alignment horizontal="center" vertical="center"/>
    </xf>
    <xf numFmtId="167" fontId="3" fillId="0" borderId="32" xfId="6" applyNumberFormat="1" applyBorder="1" applyAlignment="1">
      <alignment horizontal="center" vertical="center"/>
    </xf>
    <xf numFmtId="167" fontId="3" fillId="0" borderId="29" xfId="6" applyNumberFormat="1" applyBorder="1" applyAlignment="1">
      <alignment horizontal="center" vertical="center"/>
    </xf>
    <xf numFmtId="167" fontId="8" fillId="0" borderId="28" xfId="6" applyNumberFormat="1" applyFont="1" applyBorder="1" applyAlignment="1">
      <alignment horizontal="center" vertical="center"/>
    </xf>
    <xf numFmtId="167" fontId="8" fillId="0" borderId="32" xfId="6" applyNumberFormat="1" applyFont="1" applyBorder="1" applyAlignment="1">
      <alignment horizontal="center" vertical="center"/>
    </xf>
    <xf numFmtId="167" fontId="8" fillId="0" borderId="23" xfId="6" applyNumberFormat="1" applyFont="1" applyBorder="1" applyAlignment="1">
      <alignment horizontal="center" vertical="center"/>
    </xf>
    <xf numFmtId="167" fontId="8" fillId="0" borderId="44" xfId="6" applyNumberFormat="1" applyFont="1" applyBorder="1" applyAlignment="1">
      <alignment horizontal="center" vertical="center"/>
    </xf>
    <xf numFmtId="3" fontId="8" fillId="0" borderId="40" xfId="6" applyNumberFormat="1" applyFont="1" applyBorder="1" applyAlignment="1">
      <alignment horizontal="center" vertical="center"/>
    </xf>
    <xf numFmtId="3" fontId="3" fillId="0" borderId="28" xfId="6" applyNumberFormat="1" applyBorder="1" applyAlignment="1">
      <alignment horizontal="right" vertical="center"/>
    </xf>
    <xf numFmtId="0" fontId="3" fillId="0" borderId="28" xfId="6" applyBorder="1" applyAlignment="1">
      <alignment horizontal="right" vertical="center"/>
    </xf>
    <xf numFmtId="3" fontId="3" fillId="0" borderId="43" xfId="6" applyNumberFormat="1" applyBorder="1" applyAlignment="1">
      <alignment horizontal="right" vertical="center"/>
    </xf>
    <xf numFmtId="0" fontId="3" fillId="0" borderId="43" xfId="6" applyBorder="1" applyAlignment="1">
      <alignment horizontal="right" vertical="center"/>
    </xf>
    <xf numFmtId="3" fontId="8" fillId="0" borderId="23" xfId="6" applyNumberFormat="1" applyFont="1" applyBorder="1" applyAlignment="1">
      <alignment horizontal="center" vertical="center"/>
    </xf>
    <xf numFmtId="0" fontId="8" fillId="0" borderId="23" xfId="6" applyFont="1" applyBorder="1" applyAlignment="1">
      <alignment horizontal="center" vertical="center"/>
    </xf>
    <xf numFmtId="3" fontId="3" fillId="0" borderId="43" xfId="6" applyNumberFormat="1" applyBorder="1" applyAlignment="1">
      <alignment horizontal="center" vertical="center"/>
    </xf>
    <xf numFmtId="0" fontId="3" fillId="0" borderId="43" xfId="6" applyBorder="1" applyAlignment="1">
      <alignment horizontal="center" vertical="center"/>
    </xf>
    <xf numFmtId="0" fontId="8" fillId="0" borderId="32" xfId="6" applyFont="1" applyBorder="1" applyAlignment="1">
      <alignment horizontal="center" vertical="center"/>
    </xf>
    <xf numFmtId="0" fontId="8" fillId="0" borderId="30" xfId="6" applyFont="1" applyBorder="1" applyAlignment="1">
      <alignment horizontal="center" vertical="center"/>
    </xf>
    <xf numFmtId="3" fontId="8" fillId="0" borderId="22" xfId="6" applyNumberFormat="1" applyFont="1" applyBorder="1" applyAlignment="1">
      <alignment horizontal="center" vertical="center"/>
    </xf>
    <xf numFmtId="0" fontId="3" fillId="0" borderId="47" xfId="6" applyBorder="1" applyAlignment="1">
      <alignment horizontal="center" vertical="center"/>
    </xf>
    <xf numFmtId="3" fontId="8" fillId="0" borderId="21" xfId="6" applyNumberFormat="1" applyFont="1" applyBorder="1" applyAlignment="1">
      <alignment horizontal="center" vertical="center"/>
    </xf>
    <xf numFmtId="0" fontId="3" fillId="25" borderId="21" xfId="6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8" fillId="0" borderId="14" xfId="6" applyFont="1" applyBorder="1" applyAlignment="1">
      <alignment horizontal="center" vertical="center" wrapText="1"/>
    </xf>
    <xf numFmtId="0" fontId="3" fillId="0" borderId="16" xfId="6" applyBorder="1" applyAlignment="1">
      <alignment horizontal="center" vertical="center" wrapText="1"/>
    </xf>
    <xf numFmtId="0" fontId="8" fillId="0" borderId="5" xfId="6" applyFont="1" applyBorder="1" applyAlignment="1">
      <alignment horizontal="center" vertical="center" wrapText="1"/>
    </xf>
    <xf numFmtId="0" fontId="3" fillId="0" borderId="18" xfId="6" applyBorder="1" applyAlignment="1">
      <alignment horizontal="center" vertical="center" wrapText="1"/>
    </xf>
    <xf numFmtId="3" fontId="3" fillId="0" borderId="25" xfId="6" applyNumberFormat="1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167" fontId="3" fillId="0" borderId="44" xfId="6" applyNumberFormat="1" applyBorder="1" applyAlignment="1">
      <alignment horizontal="center" vertical="center"/>
    </xf>
    <xf numFmtId="167" fontId="3" fillId="0" borderId="35" xfId="6" applyNumberFormat="1" applyBorder="1" applyAlignment="1">
      <alignment horizontal="center" vertical="center"/>
    </xf>
    <xf numFmtId="167" fontId="8" fillId="25" borderId="14" xfId="6" applyNumberFormat="1" applyFont="1" applyFill="1" applyBorder="1" applyAlignment="1">
      <alignment horizontal="center" vertical="center"/>
    </xf>
    <xf numFmtId="167" fontId="8" fillId="25" borderId="5" xfId="6" applyNumberFormat="1" applyFont="1" applyFill="1" applyBorder="1" applyAlignment="1">
      <alignment horizontal="center" vertical="center"/>
    </xf>
    <xf numFmtId="3" fontId="3" fillId="0" borderId="40" xfId="6" applyNumberFormat="1" applyBorder="1" applyAlignment="1">
      <alignment horizontal="right" vertical="center"/>
    </xf>
    <xf numFmtId="0" fontId="8" fillId="0" borderId="16" xfId="6" applyFont="1" applyBorder="1" applyAlignment="1">
      <alignment horizontal="center" vertical="center" wrapText="1"/>
    </xf>
    <xf numFmtId="0" fontId="8" fillId="0" borderId="18" xfId="6" applyFont="1" applyBorder="1" applyAlignment="1">
      <alignment horizontal="center" vertical="center" wrapText="1"/>
    </xf>
    <xf numFmtId="3" fontId="8" fillId="0" borderId="28" xfId="6" applyNumberFormat="1" applyFont="1" applyBorder="1" applyAlignment="1">
      <alignment horizontal="right" vertical="center"/>
    </xf>
    <xf numFmtId="0" fontId="8" fillId="0" borderId="28" xfId="6" applyFont="1" applyBorder="1" applyAlignment="1">
      <alignment horizontal="right" vertical="center"/>
    </xf>
    <xf numFmtId="3" fontId="3" fillId="0" borderId="53" xfId="6" applyNumberFormat="1" applyBorder="1" applyAlignment="1">
      <alignment horizontal="right" vertical="center"/>
    </xf>
    <xf numFmtId="0" fontId="3" fillId="0" borderId="53" xfId="6" applyBorder="1" applyAlignment="1">
      <alignment horizontal="right" vertical="center"/>
    </xf>
    <xf numFmtId="3" fontId="8" fillId="0" borderId="40" xfId="6" applyNumberFormat="1" applyFont="1" applyBorder="1" applyAlignment="1">
      <alignment horizontal="right" vertical="center"/>
    </xf>
    <xf numFmtId="3" fontId="3" fillId="0" borderId="46" xfId="6" applyNumberFormat="1" applyBorder="1" applyAlignment="1">
      <alignment horizontal="right" vertical="center"/>
    </xf>
    <xf numFmtId="2" fontId="3" fillId="0" borderId="0" xfId="6" applyNumberFormat="1" applyBorder="1" applyAlignment="1">
      <alignment horizontal="center"/>
    </xf>
    <xf numFmtId="0" fontId="3" fillId="0" borderId="0" xfId="6" applyBorder="1" applyAlignment="1">
      <alignment horizontal="center"/>
    </xf>
    <xf numFmtId="0" fontId="8" fillId="0" borderId="43" xfId="6" applyFont="1" applyBorder="1" applyAlignment="1">
      <alignment horizontal="center" vertical="center"/>
    </xf>
    <xf numFmtId="0" fontId="8" fillId="0" borderId="42" xfId="6" applyFont="1" applyBorder="1" applyAlignment="1">
      <alignment horizontal="center" vertical="center"/>
    </xf>
    <xf numFmtId="0" fontId="3" fillId="0" borderId="28" xfId="6" applyFont="1" applyBorder="1" applyAlignment="1">
      <alignment horizontal="center" vertical="center"/>
    </xf>
    <xf numFmtId="0" fontId="3" fillId="0" borderId="8" xfId="6" applyFont="1" applyBorder="1" applyAlignment="1">
      <alignment horizontal="center" vertical="center"/>
    </xf>
    <xf numFmtId="0" fontId="3" fillId="0" borderId="32" xfId="6" applyFont="1" applyBorder="1" applyAlignment="1">
      <alignment horizontal="center" vertical="center"/>
    </xf>
    <xf numFmtId="0" fontId="3" fillId="0" borderId="10" xfId="6" applyFont="1" applyBorder="1" applyAlignment="1">
      <alignment horizontal="center" vertical="center"/>
    </xf>
    <xf numFmtId="167" fontId="3" fillId="0" borderId="4" xfId="6" applyNumberFormat="1" applyBorder="1" applyAlignment="1">
      <alignment horizontal="center" vertical="center"/>
    </xf>
    <xf numFmtId="167" fontId="3" fillId="0" borderId="28" xfId="6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8" fillId="0" borderId="14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29" xfId="6" applyFont="1" applyBorder="1" applyAlignment="1">
      <alignment horizontal="center" vertical="center"/>
    </xf>
    <xf numFmtId="0" fontId="3" fillId="0" borderId="11" xfId="6" applyFont="1" applyBorder="1" applyAlignment="1">
      <alignment horizontal="center" vertical="center"/>
    </xf>
    <xf numFmtId="0" fontId="8" fillId="25" borderId="14" xfId="6" applyFont="1" applyFill="1" applyBorder="1" applyAlignment="1">
      <alignment horizontal="center" vertical="center"/>
    </xf>
    <xf numFmtId="0" fontId="0" fillId="25" borderId="16" xfId="0" applyFill="1" applyBorder="1" applyAlignment="1">
      <alignment horizontal="center" vertical="center"/>
    </xf>
    <xf numFmtId="0" fontId="0" fillId="25" borderId="5" xfId="0" applyFill="1" applyBorder="1" applyAlignment="1">
      <alignment horizontal="center" vertical="center"/>
    </xf>
    <xf numFmtId="0" fontId="0" fillId="25" borderId="18" xfId="0" applyFill="1" applyBorder="1" applyAlignment="1">
      <alignment horizontal="center" vertical="center"/>
    </xf>
    <xf numFmtId="167" fontId="8" fillId="25" borderId="26" xfId="6" applyNumberFormat="1" applyFont="1" applyFill="1" applyBorder="1" applyAlignment="1">
      <alignment horizontal="center" vertical="center"/>
    </xf>
    <xf numFmtId="167" fontId="8" fillId="25" borderId="49" xfId="6" applyNumberFormat="1" applyFont="1" applyFill="1" applyBorder="1" applyAlignment="1">
      <alignment horizontal="center" vertical="center"/>
    </xf>
    <xf numFmtId="167" fontId="3" fillId="0" borderId="52" xfId="6" applyNumberForma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8" fillId="0" borderId="10" xfId="6" applyFont="1" applyBorder="1" applyAlignment="1">
      <alignment horizontal="center" vertical="center"/>
    </xf>
    <xf numFmtId="0" fontId="3" fillId="0" borderId="8" xfId="6" applyBorder="1" applyAlignment="1">
      <alignment horizontal="center" vertical="center"/>
    </xf>
    <xf numFmtId="167" fontId="3" fillId="0" borderId="14" xfId="6" applyNumberFormat="1" applyFill="1" applyBorder="1" applyAlignment="1">
      <alignment horizontal="center" vertical="center"/>
    </xf>
    <xf numFmtId="167" fontId="3" fillId="0" borderId="35" xfId="6" applyNumberFormat="1" applyFill="1" applyBorder="1" applyAlignment="1">
      <alignment horizontal="center" vertical="center"/>
    </xf>
    <xf numFmtId="0" fontId="3" fillId="0" borderId="28" xfId="6" applyFont="1" applyBorder="1" applyAlignment="1">
      <alignment horizontal="left" vertical="center"/>
    </xf>
    <xf numFmtId="0" fontId="3" fillId="0" borderId="43" xfId="6" applyBorder="1" applyAlignment="1">
      <alignment horizontal="left" vertical="center"/>
    </xf>
    <xf numFmtId="0" fontId="3" fillId="0" borderId="28" xfId="6" applyBorder="1" applyAlignment="1">
      <alignment horizontal="left" vertical="center"/>
    </xf>
    <xf numFmtId="0" fontId="8" fillId="0" borderId="40" xfId="6" applyFont="1" applyBorder="1" applyAlignment="1">
      <alignment horizontal="center" vertical="center"/>
    </xf>
    <xf numFmtId="0" fontId="8" fillId="0" borderId="41" xfId="6" applyFont="1" applyBorder="1" applyAlignment="1">
      <alignment horizontal="center" vertical="center"/>
    </xf>
    <xf numFmtId="0" fontId="3" fillId="0" borderId="15" xfId="6" applyBorder="1" applyAlignment="1">
      <alignment horizontal="center" vertical="center" wrapText="1"/>
    </xf>
    <xf numFmtId="0" fontId="3" fillId="0" borderId="6" xfId="6" applyBorder="1" applyAlignment="1">
      <alignment horizontal="center" vertical="center" wrapText="1"/>
    </xf>
    <xf numFmtId="0" fontId="3" fillId="0" borderId="40" xfId="6" applyFont="1" applyBorder="1" applyAlignment="1">
      <alignment horizontal="center" vertical="center"/>
    </xf>
    <xf numFmtId="0" fontId="3" fillId="0" borderId="51" xfId="6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0" fontId="8" fillId="0" borderId="16" xfId="6" applyFont="1" applyBorder="1" applyAlignment="1">
      <alignment horizontal="center" vertical="center"/>
    </xf>
    <xf numFmtId="0" fontId="8" fillId="0" borderId="35" xfId="6" applyFont="1" applyBorder="1" applyAlignment="1">
      <alignment horizontal="center" vertical="center"/>
    </xf>
    <xf numFmtId="0" fontId="8" fillId="0" borderId="34" xfId="6" applyFont="1" applyBorder="1" applyAlignment="1">
      <alignment horizontal="center" vertical="center"/>
    </xf>
    <xf numFmtId="0" fontId="3" fillId="0" borderId="9" xfId="6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0" borderId="44" xfId="6" applyFont="1" applyBorder="1" applyAlignment="1">
      <alignment horizontal="center" vertical="center"/>
    </xf>
    <xf numFmtId="0" fontId="8" fillId="0" borderId="48" xfId="6" applyFont="1" applyBorder="1" applyAlignment="1">
      <alignment horizontal="center" vertical="center"/>
    </xf>
    <xf numFmtId="0" fontId="8" fillId="0" borderId="4" xfId="6" applyFont="1" applyBorder="1" applyAlignment="1">
      <alignment horizontal="center" vertical="center"/>
    </xf>
    <xf numFmtId="0" fontId="8" fillId="0" borderId="17" xfId="6" applyFont="1" applyBorder="1" applyAlignment="1">
      <alignment horizontal="center" vertical="center"/>
    </xf>
    <xf numFmtId="0" fontId="3" fillId="0" borderId="23" xfId="6" applyFont="1" applyBorder="1" applyAlignment="1">
      <alignment horizontal="left" vertical="center"/>
    </xf>
    <xf numFmtId="0" fontId="3" fillId="0" borderId="9" xfId="6" applyBorder="1" applyAlignment="1">
      <alignment horizontal="left" vertical="center"/>
    </xf>
    <xf numFmtId="0" fontId="0" fillId="0" borderId="4" xfId="0" applyBorder="1" applyAlignment="1"/>
    <xf numFmtId="0" fontId="0" fillId="0" borderId="35" xfId="0" applyBorder="1" applyAlignment="1"/>
    <xf numFmtId="0" fontId="8" fillId="0" borderId="10" xfId="0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6" fillId="16" borderId="0" xfId="0" applyFont="1" applyFill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0" xfId="0" applyFont="1" applyBorder="1" applyAlignment="1"/>
    <xf numFmtId="0" fontId="8" fillId="0" borderId="19" xfId="0" applyFont="1" applyBorder="1" applyAlignment="1"/>
    <xf numFmtId="3" fontId="3" fillId="6" borderId="7" xfId="1" applyNumberFormat="1" applyFont="1" applyFill="1" applyBorder="1" applyAlignment="1">
      <alignment horizontal="left" vertical="center" wrapText="1"/>
    </xf>
  </cellXfs>
  <cellStyles count="9">
    <cellStyle name="Hivatkozás 2" xfId="3"/>
    <cellStyle name="Insatisfaisant" xfId="5" builtinId="27"/>
    <cellStyle name="Normal" xfId="0" builtinId="0"/>
    <cellStyle name="Normal 2" xfId="6"/>
    <cellStyle name="Normál 2" xfId="1"/>
    <cellStyle name="Normal 3" xfId="7"/>
    <cellStyle name="Normál 3" xfId="2"/>
    <cellStyle name="Normál 3 2" xfId="8"/>
    <cellStyle name="Standard 2" xfId="4"/>
  </cellStyles>
  <dxfs count="0"/>
  <tableStyles count="0" defaultTableStyle="TableStyleMedium9" defaultPivotStyle="PivotStyleLight16"/>
  <colors>
    <mruColors>
      <color rgb="FFFFFF99"/>
      <color rgb="FF4EF85E"/>
      <color rgb="FFFF99FF"/>
      <color rgb="FF00FFFF"/>
      <color rgb="FF33CCFF"/>
      <color rgb="FF66FF99"/>
      <color rgb="FFFF66CC"/>
      <color rgb="FFFF99CC"/>
      <color rgb="FF00602B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12"/>
  <sheetViews>
    <sheetView tabSelected="1" view="pageBreakPreview" zoomScaleNormal="90" zoomScaleSheetLayoutView="100" workbookViewId="0">
      <pane ySplit="3" topLeftCell="A19" activePane="bottomLeft" state="frozen"/>
      <selection pane="bottomLeft" activeCell="A2" sqref="A2"/>
    </sheetView>
  </sheetViews>
  <sheetFormatPr baseColWidth="10" defaultColWidth="11.42578125" defaultRowHeight="12.75" x14ac:dyDescent="0.2"/>
  <cols>
    <col min="1" max="1" width="67.140625" style="38" customWidth="1"/>
    <col min="2" max="2" width="11.5703125" style="26" customWidth="1"/>
    <col min="3" max="3" width="11.42578125" style="157" hidden="1" customWidth="1"/>
    <col min="4" max="4" width="11.42578125" style="157" customWidth="1"/>
    <col min="5" max="5" width="11.42578125" style="157" hidden="1" customWidth="1"/>
    <col min="6" max="6" width="11.42578125" style="157" customWidth="1"/>
    <col min="7" max="7" width="11.42578125" style="224" customWidth="1"/>
    <col min="8" max="8" width="11.42578125" style="157" customWidth="1"/>
    <col min="9" max="10" width="14.140625" style="157" customWidth="1"/>
    <col min="11" max="11" width="11.7109375" style="157" customWidth="1"/>
    <col min="12" max="16384" width="11.42578125" style="38"/>
  </cols>
  <sheetData>
    <row r="1" spans="1:11" s="26" customFormat="1" ht="21" customHeight="1" thickBot="1" x14ac:dyDescent="0.35">
      <c r="A1" s="413" t="s">
        <v>419</v>
      </c>
      <c r="B1" s="33"/>
      <c r="C1" s="74"/>
      <c r="D1" s="74"/>
      <c r="E1" s="74"/>
      <c r="F1" s="74"/>
      <c r="G1" s="210"/>
      <c r="H1" s="74"/>
      <c r="I1" s="74"/>
      <c r="J1" s="74"/>
      <c r="K1" s="74"/>
    </row>
    <row r="2" spans="1:11" ht="60.75" thickBot="1" x14ac:dyDescent="0.25">
      <c r="A2" s="522" t="s">
        <v>420</v>
      </c>
      <c r="B2" s="77" t="s">
        <v>398</v>
      </c>
      <c r="C2" s="188" t="s">
        <v>396</v>
      </c>
      <c r="D2" s="188" t="s">
        <v>400</v>
      </c>
      <c r="E2" s="188" t="s">
        <v>401</v>
      </c>
      <c r="F2" s="356" t="s">
        <v>412</v>
      </c>
      <c r="G2" s="205" t="s">
        <v>415</v>
      </c>
      <c r="H2" s="205" t="s">
        <v>416</v>
      </c>
      <c r="I2" s="205" t="s">
        <v>410</v>
      </c>
      <c r="J2" s="205" t="s">
        <v>410</v>
      </c>
      <c r="K2" s="357" t="s">
        <v>395</v>
      </c>
    </row>
    <row r="3" spans="1:11" s="40" customFormat="1" ht="20.25" customHeight="1" x14ac:dyDescent="0.2">
      <c r="A3" s="39" t="s">
        <v>110</v>
      </c>
      <c r="B3" s="315"/>
      <c r="C3" s="314"/>
      <c r="D3" s="263"/>
      <c r="E3" s="263"/>
      <c r="F3" s="382" t="s">
        <v>157</v>
      </c>
      <c r="G3" s="239" t="s">
        <v>157</v>
      </c>
      <c r="H3" s="167" t="s">
        <v>362</v>
      </c>
      <c r="I3" s="167" t="s">
        <v>411</v>
      </c>
      <c r="J3" s="159" t="s">
        <v>158</v>
      </c>
      <c r="K3" s="159"/>
    </row>
    <row r="4" spans="1:11" x14ac:dyDescent="0.2">
      <c r="A4" s="78" t="s">
        <v>0</v>
      </c>
      <c r="B4" s="109"/>
      <c r="C4" s="76"/>
      <c r="D4" s="345"/>
      <c r="E4" s="76"/>
      <c r="F4" s="383"/>
      <c r="G4" s="402"/>
      <c r="H4" s="204"/>
      <c r="I4" s="204"/>
      <c r="J4" s="204"/>
      <c r="K4" s="162"/>
    </row>
    <row r="5" spans="1:11" s="24" customFormat="1" x14ac:dyDescent="0.2">
      <c r="A5" s="79" t="s">
        <v>119</v>
      </c>
      <c r="B5" s="109">
        <v>699619</v>
      </c>
      <c r="C5" s="260">
        <v>695350</v>
      </c>
      <c r="D5" s="346">
        <v>695350</v>
      </c>
      <c r="E5" s="260">
        <v>695350</v>
      </c>
      <c r="F5" s="384">
        <v>695350</v>
      </c>
      <c r="G5" s="403">
        <v>695154</v>
      </c>
      <c r="H5" s="261">
        <v>695154</v>
      </c>
      <c r="I5" s="261">
        <v>699475</v>
      </c>
      <c r="J5" s="261"/>
      <c r="K5" s="213"/>
    </row>
    <row r="6" spans="1:11" s="27" customFormat="1" x14ac:dyDescent="0.2">
      <c r="A6" s="80" t="s">
        <v>418</v>
      </c>
      <c r="B6" s="109">
        <v>27989</v>
      </c>
      <c r="C6" s="260">
        <v>35000</v>
      </c>
      <c r="D6" s="346">
        <v>35000</v>
      </c>
      <c r="E6" s="260">
        <v>35000</v>
      </c>
      <c r="F6" s="384">
        <v>35000</v>
      </c>
      <c r="G6" s="403">
        <v>34993</v>
      </c>
      <c r="H6" s="261">
        <v>34993</v>
      </c>
      <c r="I6" s="261">
        <v>35210</v>
      </c>
      <c r="J6" s="261"/>
      <c r="K6" s="213"/>
    </row>
    <row r="7" spans="1:11" s="27" customFormat="1" x14ac:dyDescent="0.2">
      <c r="A7" s="81" t="s">
        <v>124</v>
      </c>
      <c r="B7" s="269"/>
      <c r="C7" s="240"/>
      <c r="D7" s="240"/>
      <c r="E7" s="240"/>
      <c r="F7" s="240"/>
      <c r="G7" s="240"/>
      <c r="H7" s="211"/>
      <c r="I7" s="211"/>
      <c r="J7" s="211"/>
      <c r="K7" s="211"/>
    </row>
    <row r="8" spans="1:11" x14ac:dyDescent="0.2">
      <c r="A8" s="82" t="s">
        <v>120</v>
      </c>
      <c r="B8" s="109"/>
      <c r="C8" s="260"/>
      <c r="D8" s="346"/>
      <c r="E8" s="260"/>
      <c r="F8" s="384"/>
      <c r="G8" s="403"/>
      <c r="H8" s="261"/>
      <c r="I8" s="261"/>
      <c r="J8" s="261"/>
      <c r="K8" s="213"/>
    </row>
    <row r="9" spans="1:11" s="27" customFormat="1" x14ac:dyDescent="0.2">
      <c r="A9" s="80" t="s">
        <v>122</v>
      </c>
      <c r="B9" s="109">
        <v>600000</v>
      </c>
      <c r="C9" s="260">
        <v>722861</v>
      </c>
      <c r="D9" s="346">
        <v>722861</v>
      </c>
      <c r="E9" s="260">
        <v>600000</v>
      </c>
      <c r="F9" s="384">
        <v>722861</v>
      </c>
      <c r="G9" s="403">
        <v>722861</v>
      </c>
      <c r="H9" s="261">
        <v>361430.5</v>
      </c>
      <c r="I9" s="261">
        <f>+D9</f>
        <v>722861</v>
      </c>
      <c r="J9" s="261"/>
      <c r="K9" s="213"/>
    </row>
    <row r="10" spans="1:11" s="27" customFormat="1" x14ac:dyDescent="0.2">
      <c r="A10" s="80" t="s">
        <v>121</v>
      </c>
      <c r="B10" s="161">
        <v>14400</v>
      </c>
      <c r="C10" s="260">
        <v>17349</v>
      </c>
      <c r="D10" s="346">
        <v>17349</v>
      </c>
      <c r="E10" s="260">
        <v>14400</v>
      </c>
      <c r="F10" s="384">
        <v>17349</v>
      </c>
      <c r="G10" s="403">
        <v>17349</v>
      </c>
      <c r="H10" s="261">
        <v>8674.5</v>
      </c>
      <c r="I10" s="261">
        <f>+D10</f>
        <v>17349</v>
      </c>
      <c r="J10" s="261"/>
      <c r="K10" s="213"/>
    </row>
    <row r="11" spans="1:11" x14ac:dyDescent="0.2">
      <c r="A11" s="83" t="s">
        <v>130</v>
      </c>
      <c r="B11" s="269"/>
      <c r="C11" s="240"/>
      <c r="D11" s="240"/>
      <c r="E11" s="240"/>
      <c r="F11" s="240"/>
      <c r="G11" s="240"/>
      <c r="H11" s="211"/>
      <c r="I11" s="211"/>
      <c r="J11" s="211"/>
      <c r="K11" s="211"/>
    </row>
    <row r="12" spans="1:11" s="27" customFormat="1" x14ac:dyDescent="0.2">
      <c r="A12" s="81" t="s">
        <v>129</v>
      </c>
      <c r="B12" s="269"/>
      <c r="C12" s="240"/>
      <c r="D12" s="240"/>
      <c r="E12" s="240"/>
      <c r="F12" s="240"/>
      <c r="G12" s="240"/>
      <c r="H12" s="211"/>
      <c r="I12" s="211"/>
      <c r="J12" s="211"/>
      <c r="K12" s="211"/>
    </row>
    <row r="13" spans="1:11" s="27" customFormat="1" x14ac:dyDescent="0.2">
      <c r="A13" s="81" t="s">
        <v>322</v>
      </c>
      <c r="B13" s="269"/>
      <c r="C13" s="240"/>
      <c r="D13" s="240"/>
      <c r="E13" s="240"/>
      <c r="F13" s="240"/>
      <c r="G13" s="240"/>
      <c r="H13" s="211"/>
      <c r="I13" s="211"/>
      <c r="J13" s="211"/>
      <c r="K13" s="211"/>
    </row>
    <row r="14" spans="1:11" s="86" customFormat="1" x14ac:dyDescent="0.2">
      <c r="A14" s="84" t="s">
        <v>176</v>
      </c>
      <c r="B14" s="270"/>
      <c r="C14" s="241"/>
      <c r="D14" s="241"/>
      <c r="E14" s="241"/>
      <c r="F14" s="241"/>
      <c r="G14" s="241"/>
      <c r="H14" s="212"/>
      <c r="I14" s="212"/>
      <c r="J14" s="212"/>
      <c r="K14" s="212"/>
    </row>
    <row r="15" spans="1:11" s="86" customFormat="1" x14ac:dyDescent="0.2">
      <c r="A15" s="87" t="s">
        <v>177</v>
      </c>
      <c r="B15" s="271"/>
      <c r="C15" s="242"/>
      <c r="D15" s="242"/>
      <c r="E15" s="242"/>
      <c r="F15" s="242"/>
      <c r="G15" s="242"/>
      <c r="H15" s="213"/>
      <c r="I15" s="213"/>
      <c r="J15" s="213"/>
      <c r="K15" s="262"/>
    </row>
    <row r="16" spans="1:11" x14ac:dyDescent="0.2">
      <c r="A16" s="89" t="s">
        <v>178</v>
      </c>
      <c r="B16" s="268">
        <f>7654.22+2.56</f>
        <v>7656.7800000000007</v>
      </c>
      <c r="C16" s="260">
        <v>1516.4</v>
      </c>
      <c r="D16" s="347">
        <f>1516+15400</f>
        <v>16916</v>
      </c>
      <c r="E16" s="260">
        <v>1516</v>
      </c>
      <c r="F16" s="384">
        <v>16916</v>
      </c>
      <c r="G16" s="403">
        <f>1516+15400</f>
        <v>16916</v>
      </c>
      <c r="H16" s="261">
        <v>15400</v>
      </c>
      <c r="I16" s="261">
        <f>+D16</f>
        <v>16916</v>
      </c>
      <c r="J16" s="261"/>
      <c r="K16" s="213"/>
    </row>
    <row r="17" spans="1:11" s="40" customFormat="1" ht="23.25" customHeight="1" x14ac:dyDescent="0.2">
      <c r="A17" s="90" t="s">
        <v>1</v>
      </c>
      <c r="B17" s="214">
        <f t="shared" ref="B17:I17" si="0">SUM(B4:B16)</f>
        <v>1349664.78</v>
      </c>
      <c r="C17" s="214">
        <f t="shared" si="0"/>
        <v>1472076.4</v>
      </c>
      <c r="D17" s="214">
        <f t="shared" si="0"/>
        <v>1487476</v>
      </c>
      <c r="E17" s="214">
        <f t="shared" si="0"/>
        <v>1346266</v>
      </c>
      <c r="F17" s="214">
        <f t="shared" si="0"/>
        <v>1487476</v>
      </c>
      <c r="G17" s="214">
        <f t="shared" si="0"/>
        <v>1487273</v>
      </c>
      <c r="H17" s="141">
        <f t="shared" si="0"/>
        <v>1115652</v>
      </c>
      <c r="I17" s="141">
        <f t="shared" si="0"/>
        <v>1491811</v>
      </c>
      <c r="J17" s="141"/>
      <c r="K17" s="141">
        <f t="shared" ref="K17" si="1">SUM(K4:K16)</f>
        <v>0</v>
      </c>
    </row>
    <row r="18" spans="1:11" x14ac:dyDescent="0.2">
      <c r="A18" s="45"/>
      <c r="B18" s="316"/>
      <c r="C18" s="257"/>
      <c r="D18" s="282"/>
      <c r="E18" s="163"/>
      <c r="F18" s="163"/>
      <c r="G18" s="389"/>
      <c r="H18" s="160"/>
      <c r="I18" s="160"/>
      <c r="J18" s="160"/>
      <c r="K18" s="160"/>
    </row>
    <row r="19" spans="1:11" s="47" customFormat="1" ht="19.5" customHeight="1" x14ac:dyDescent="0.2">
      <c r="A19" s="46" t="s">
        <v>111</v>
      </c>
      <c r="B19" s="272"/>
      <c r="C19" s="258"/>
      <c r="D19" s="156"/>
      <c r="E19" s="272"/>
      <c r="F19" s="272"/>
      <c r="G19" s="159"/>
      <c r="H19" s="156"/>
      <c r="I19" s="156"/>
      <c r="J19" s="156"/>
      <c r="K19" s="156"/>
    </row>
    <row r="20" spans="1:11" s="49" customFormat="1" ht="14.25" customHeight="1" x14ac:dyDescent="0.2">
      <c r="A20" s="48"/>
      <c r="B20" s="182"/>
      <c r="C20" s="264"/>
      <c r="D20" s="348"/>
      <c r="E20" s="256"/>
      <c r="F20" s="383"/>
      <c r="G20" s="404"/>
      <c r="H20" s="204"/>
      <c r="I20" s="204"/>
      <c r="J20" s="204"/>
      <c r="K20" s="162"/>
    </row>
    <row r="21" spans="1:11" ht="19.5" customHeight="1" x14ac:dyDescent="0.2">
      <c r="A21" s="52" t="s">
        <v>3</v>
      </c>
      <c r="B21" s="161"/>
      <c r="C21" s="204"/>
      <c r="D21" s="348"/>
      <c r="E21" s="256"/>
      <c r="F21" s="383"/>
      <c r="G21" s="404"/>
      <c r="H21" s="204"/>
      <c r="I21" s="204"/>
      <c r="J21" s="204"/>
      <c r="K21" s="162"/>
    </row>
    <row r="22" spans="1:11" s="36" customFormat="1" ht="12" customHeight="1" x14ac:dyDescent="0.2">
      <c r="A22" s="91" t="s">
        <v>75</v>
      </c>
      <c r="B22" s="109"/>
      <c r="C22" s="204"/>
      <c r="D22" s="348"/>
      <c r="E22" s="256"/>
      <c r="F22" s="383"/>
      <c r="G22" s="404"/>
      <c r="H22" s="204"/>
      <c r="I22" s="204"/>
      <c r="J22" s="204"/>
      <c r="K22" s="162"/>
    </row>
    <row r="23" spans="1:11" s="36" customFormat="1" ht="12" customHeight="1" x14ac:dyDescent="0.2">
      <c r="A23" s="91" t="s">
        <v>80</v>
      </c>
      <c r="B23" s="317"/>
      <c r="C23" s="204"/>
      <c r="D23" s="348"/>
      <c r="E23" s="256"/>
      <c r="F23" s="383"/>
      <c r="G23" s="404"/>
      <c r="H23" s="204"/>
      <c r="I23" s="204"/>
      <c r="J23" s="204"/>
      <c r="K23" s="162"/>
    </row>
    <row r="24" spans="1:11" s="27" customFormat="1" x14ac:dyDescent="0.2">
      <c r="A24" s="57" t="s">
        <v>179</v>
      </c>
      <c r="B24" s="318">
        <v>12250</v>
      </c>
      <c r="C24" s="206">
        <v>4800</v>
      </c>
      <c r="D24" s="349">
        <v>4800</v>
      </c>
      <c r="E24" s="259">
        <v>1600</v>
      </c>
      <c r="F24" s="385">
        <v>4800</v>
      </c>
      <c r="G24" s="404">
        <v>4800</v>
      </c>
      <c r="H24" s="204">
        <v>0</v>
      </c>
      <c r="I24" s="204">
        <v>7200</v>
      </c>
      <c r="J24" s="206"/>
      <c r="K24" s="162"/>
    </row>
    <row r="25" spans="1:11" s="27" customFormat="1" x14ac:dyDescent="0.2">
      <c r="A25" s="57" t="s">
        <v>180</v>
      </c>
      <c r="B25" s="318">
        <v>35415.040000000001</v>
      </c>
      <c r="C25" s="204">
        <v>31720</v>
      </c>
      <c r="D25" s="348">
        <v>31720</v>
      </c>
      <c r="E25" s="256">
        <v>32420</v>
      </c>
      <c r="F25" s="383">
        <v>29305</v>
      </c>
      <c r="G25" s="404">
        <v>29305</v>
      </c>
      <c r="H25" s="204">
        <v>9673</v>
      </c>
      <c r="I25" s="204">
        <v>27597</v>
      </c>
      <c r="J25" s="206"/>
      <c r="K25" s="162"/>
    </row>
    <row r="26" spans="1:11" x14ac:dyDescent="0.2">
      <c r="A26" s="54" t="s">
        <v>81</v>
      </c>
      <c r="B26" s="317"/>
      <c r="C26" s="204"/>
      <c r="D26" s="348"/>
      <c r="E26" s="256"/>
      <c r="F26" s="383"/>
      <c r="G26" s="404"/>
      <c r="H26" s="204"/>
      <c r="I26" s="206"/>
      <c r="J26" s="206"/>
      <c r="K26" s="162"/>
    </row>
    <row r="27" spans="1:11" s="27" customFormat="1" x14ac:dyDescent="0.2">
      <c r="A27" s="57" t="s">
        <v>181</v>
      </c>
      <c r="B27" s="318">
        <v>58073.54</v>
      </c>
      <c r="C27" s="204">
        <v>88343</v>
      </c>
      <c r="D27" s="348">
        <v>88343</v>
      </c>
      <c r="E27" s="256">
        <v>83361</v>
      </c>
      <c r="F27" s="390">
        <v>73143</v>
      </c>
      <c r="G27" s="404">
        <v>69829</v>
      </c>
      <c r="H27" s="204">
        <v>23947.43</v>
      </c>
      <c r="I27" s="206">
        <v>70026</v>
      </c>
      <c r="J27" s="206"/>
      <c r="K27" s="162"/>
    </row>
    <row r="28" spans="1:11" s="27" customFormat="1" x14ac:dyDescent="0.2">
      <c r="A28" s="57" t="s">
        <v>182</v>
      </c>
      <c r="B28" s="318">
        <v>1897.56</v>
      </c>
      <c r="C28" s="204">
        <v>2840</v>
      </c>
      <c r="D28" s="348">
        <v>2840</v>
      </c>
      <c r="E28" s="256">
        <v>2840</v>
      </c>
      <c r="F28" s="383">
        <v>2100</v>
      </c>
      <c r="G28" s="404">
        <v>2100</v>
      </c>
      <c r="H28" s="204">
        <v>1714.52</v>
      </c>
      <c r="I28" s="206">
        <v>2215</v>
      </c>
      <c r="J28" s="206"/>
      <c r="K28" s="162"/>
    </row>
    <row r="29" spans="1:11" x14ac:dyDescent="0.2">
      <c r="A29" s="92" t="s">
        <v>183</v>
      </c>
      <c r="B29" s="319"/>
      <c r="C29" s="204"/>
      <c r="D29" s="348"/>
      <c r="E29" s="256"/>
      <c r="F29" s="383"/>
      <c r="G29" s="404"/>
      <c r="H29" s="204"/>
      <c r="I29" s="206"/>
      <c r="J29" s="206"/>
      <c r="K29" s="162"/>
    </row>
    <row r="30" spans="1:11" s="27" customFormat="1" x14ac:dyDescent="0.2">
      <c r="A30" s="93" t="s">
        <v>184</v>
      </c>
      <c r="B30" s="320">
        <v>0</v>
      </c>
      <c r="C30" s="204">
        <v>0</v>
      </c>
      <c r="D30" s="348">
        <v>0</v>
      </c>
      <c r="E30" s="256"/>
      <c r="F30" s="383">
        <v>0</v>
      </c>
      <c r="G30" s="404">
        <v>0</v>
      </c>
      <c r="H30" s="204"/>
      <c r="I30" s="206"/>
      <c r="J30" s="206"/>
      <c r="K30" s="162"/>
    </row>
    <row r="31" spans="1:11" s="27" customFormat="1" x14ac:dyDescent="0.2">
      <c r="A31" s="94" t="s">
        <v>185</v>
      </c>
      <c r="B31" s="318">
        <v>0</v>
      </c>
      <c r="C31" s="204">
        <v>8260</v>
      </c>
      <c r="D31" s="348">
        <v>8260</v>
      </c>
      <c r="E31" s="256"/>
      <c r="F31" s="383">
        <v>0</v>
      </c>
      <c r="G31" s="404">
        <v>0</v>
      </c>
      <c r="H31" s="204"/>
      <c r="I31" s="206">
        <v>0</v>
      </c>
      <c r="J31" s="206"/>
      <c r="K31" s="162"/>
    </row>
    <row r="32" spans="1:11" x14ac:dyDescent="0.2">
      <c r="A32" s="95" t="s">
        <v>82</v>
      </c>
      <c r="B32" s="321"/>
      <c r="C32" s="204"/>
      <c r="D32" s="348"/>
      <c r="E32" s="256"/>
      <c r="F32" s="383"/>
      <c r="G32" s="404"/>
      <c r="H32" s="204"/>
      <c r="I32" s="206"/>
      <c r="J32" s="206"/>
      <c r="K32" s="162"/>
    </row>
    <row r="33" spans="1:11" s="27" customFormat="1" ht="14.25" customHeight="1" x14ac:dyDescent="0.2">
      <c r="A33" s="57" t="s">
        <v>186</v>
      </c>
      <c r="B33" s="318">
        <v>9092.9699999999993</v>
      </c>
      <c r="C33" s="206">
        <v>17500</v>
      </c>
      <c r="D33" s="349">
        <v>17500</v>
      </c>
      <c r="E33" s="259">
        <v>17500</v>
      </c>
      <c r="F33" s="385">
        <v>17500</v>
      </c>
      <c r="G33" s="404">
        <v>17500</v>
      </c>
      <c r="H33" s="206"/>
      <c r="I33" s="206">
        <v>14500</v>
      </c>
      <c r="J33" s="206"/>
      <c r="K33" s="162"/>
    </row>
    <row r="34" spans="1:11" s="24" customFormat="1" x14ac:dyDescent="0.2">
      <c r="A34" s="57" t="s">
        <v>187</v>
      </c>
      <c r="B34" s="318"/>
      <c r="C34" s="204"/>
      <c r="D34" s="348"/>
      <c r="E34" s="256"/>
      <c r="F34" s="383"/>
      <c r="G34" s="404"/>
      <c r="H34" s="204"/>
      <c r="I34" s="206"/>
      <c r="J34" s="206"/>
      <c r="K34" s="162"/>
    </row>
    <row r="35" spans="1:11" s="24" customFormat="1" x14ac:dyDescent="0.2">
      <c r="A35" s="57" t="s">
        <v>188</v>
      </c>
      <c r="B35" s="318">
        <v>572.66</v>
      </c>
      <c r="C35" s="204"/>
      <c r="D35" s="348"/>
      <c r="E35" s="256"/>
      <c r="F35" s="383"/>
      <c r="G35" s="404"/>
      <c r="H35" s="204"/>
      <c r="I35" s="206">
        <v>1085</v>
      </c>
      <c r="J35" s="206"/>
      <c r="K35" s="162"/>
    </row>
    <row r="36" spans="1:11" s="24" customFormat="1" x14ac:dyDescent="0.2">
      <c r="A36" s="57" t="s">
        <v>189</v>
      </c>
      <c r="B36" s="318">
        <v>281.64</v>
      </c>
      <c r="C36" s="204"/>
      <c r="D36" s="348"/>
      <c r="E36" s="256"/>
      <c r="F36" s="383"/>
      <c r="G36" s="404"/>
      <c r="H36" s="204"/>
      <c r="I36" s="206"/>
      <c r="J36" s="206"/>
      <c r="K36" s="162"/>
    </row>
    <row r="37" spans="1:11" x14ac:dyDescent="0.2">
      <c r="A37" s="54" t="s">
        <v>83</v>
      </c>
      <c r="B37" s="322">
        <v>96.64</v>
      </c>
      <c r="C37" s="265">
        <v>500</v>
      </c>
      <c r="D37" s="350">
        <v>500</v>
      </c>
      <c r="E37" s="256">
        <v>500</v>
      </c>
      <c r="F37" s="383">
        <v>100</v>
      </c>
      <c r="G37" s="405">
        <v>150</v>
      </c>
      <c r="H37" s="204">
        <v>49.4</v>
      </c>
      <c r="I37" s="206">
        <f>50</f>
        <v>50</v>
      </c>
      <c r="J37" s="206"/>
      <c r="K37" s="162"/>
    </row>
    <row r="38" spans="1:11" x14ac:dyDescent="0.2">
      <c r="A38" s="51" t="s">
        <v>4</v>
      </c>
      <c r="B38" s="207">
        <f>SUM(B22:B37)</f>
        <v>117680.05</v>
      </c>
      <c r="C38" s="207">
        <f>SUM(C22:C37)</f>
        <v>153963</v>
      </c>
      <c r="D38" s="351">
        <f>SUM(D22:D37)</f>
        <v>153963</v>
      </c>
      <c r="E38" s="207">
        <f>SUM(E22:E37)</f>
        <v>138221</v>
      </c>
      <c r="F38" s="361">
        <f>SUM(F24:F37)</f>
        <v>126948</v>
      </c>
      <c r="G38" s="406">
        <f>SUM(G24:G37)</f>
        <v>123684</v>
      </c>
      <c r="H38" s="207">
        <v>35385</v>
      </c>
      <c r="I38" s="207">
        <v>122672</v>
      </c>
      <c r="J38" s="207">
        <f>SUM(J22:J37)</f>
        <v>0</v>
      </c>
      <c r="K38" s="130">
        <f t="shared" ref="K38" si="2">SUM(K22:K37)</f>
        <v>0</v>
      </c>
    </row>
    <row r="39" spans="1:11" ht="13.5" customHeight="1" x14ac:dyDescent="0.2">
      <c r="A39" s="54"/>
      <c r="B39" s="323"/>
      <c r="C39" s="204"/>
      <c r="D39" s="348"/>
      <c r="E39" s="204"/>
      <c r="F39" s="386"/>
      <c r="G39" s="261"/>
      <c r="H39" s="204"/>
      <c r="I39" s="204"/>
      <c r="J39" s="204"/>
      <c r="K39" s="162"/>
    </row>
    <row r="40" spans="1:11" ht="19.5" customHeight="1" x14ac:dyDescent="0.2">
      <c r="A40" s="52" t="s">
        <v>5</v>
      </c>
      <c r="B40" s="109"/>
      <c r="C40" s="204"/>
      <c r="D40" s="348"/>
      <c r="E40" s="204"/>
      <c r="F40" s="386"/>
      <c r="G40" s="261"/>
      <c r="H40" s="204"/>
      <c r="I40" s="204"/>
      <c r="J40" s="204"/>
      <c r="K40" s="162"/>
    </row>
    <row r="41" spans="1:11" ht="15.75" customHeight="1" x14ac:dyDescent="0.2">
      <c r="A41" s="50" t="s">
        <v>6</v>
      </c>
      <c r="B41" s="109"/>
      <c r="C41" s="204"/>
      <c r="D41" s="348"/>
      <c r="E41" s="204"/>
      <c r="F41" s="386"/>
      <c r="G41" s="261"/>
      <c r="H41" s="204"/>
      <c r="I41" s="204"/>
      <c r="J41" s="204"/>
      <c r="K41" s="162"/>
    </row>
    <row r="42" spans="1:11" s="26" customFormat="1" x14ac:dyDescent="0.2">
      <c r="A42" s="54" t="s">
        <v>84</v>
      </c>
      <c r="B42" s="109"/>
      <c r="C42" s="204"/>
      <c r="D42" s="348"/>
      <c r="E42" s="204"/>
      <c r="F42" s="386"/>
      <c r="G42" s="261"/>
      <c r="H42" s="204"/>
      <c r="I42" s="204"/>
      <c r="J42" s="204"/>
      <c r="K42" s="162"/>
    </row>
    <row r="43" spans="1:11" s="27" customFormat="1" x14ac:dyDescent="0.2">
      <c r="A43" s="57" t="s">
        <v>190</v>
      </c>
      <c r="B43" s="109">
        <v>14000</v>
      </c>
      <c r="C43" s="204">
        <v>5600</v>
      </c>
      <c r="D43" s="348">
        <v>5600</v>
      </c>
      <c r="E43" s="204">
        <v>1600</v>
      </c>
      <c r="F43" s="354">
        <v>5600</v>
      </c>
      <c r="G43" s="261">
        <v>7000</v>
      </c>
      <c r="H43" s="204">
        <v>4000</v>
      </c>
      <c r="I43" s="204">
        <v>7000</v>
      </c>
      <c r="J43" s="204"/>
      <c r="K43" s="162"/>
    </row>
    <row r="44" spans="1:11" s="27" customFormat="1" x14ac:dyDescent="0.2">
      <c r="A44" s="57" t="s">
        <v>191</v>
      </c>
      <c r="B44" s="109">
        <v>947.76</v>
      </c>
      <c r="C44" s="204">
        <v>1900</v>
      </c>
      <c r="D44" s="348">
        <v>1900</v>
      </c>
      <c r="E44" s="204">
        <v>1900</v>
      </c>
      <c r="F44" s="354">
        <v>1879</v>
      </c>
      <c r="G44" s="261">
        <v>1879</v>
      </c>
      <c r="H44" s="204">
        <v>1029</v>
      </c>
      <c r="I44" s="204">
        <v>1922</v>
      </c>
      <c r="J44" s="204"/>
      <c r="K44" s="162"/>
    </row>
    <row r="45" spans="1:11" s="26" customFormat="1" x14ac:dyDescent="0.2">
      <c r="A45" s="54" t="s">
        <v>192</v>
      </c>
      <c r="B45" s="109"/>
      <c r="C45" s="204"/>
      <c r="D45" s="348"/>
      <c r="E45" s="204"/>
      <c r="F45" s="386"/>
      <c r="G45" s="261"/>
      <c r="H45" s="204"/>
      <c r="I45" s="204"/>
      <c r="J45" s="204"/>
      <c r="K45" s="162"/>
    </row>
    <row r="46" spans="1:11" s="24" customFormat="1" ht="13.5" customHeight="1" x14ac:dyDescent="0.2">
      <c r="A46" s="57" t="s">
        <v>193</v>
      </c>
      <c r="B46" s="109">
        <v>5382.04</v>
      </c>
      <c r="C46" s="204">
        <v>0</v>
      </c>
      <c r="D46" s="348">
        <v>0</v>
      </c>
      <c r="E46" s="204">
        <v>0</v>
      </c>
      <c r="F46" s="386">
        <v>0</v>
      </c>
      <c r="G46" s="261">
        <v>0</v>
      </c>
      <c r="H46" s="204"/>
      <c r="I46" s="204"/>
      <c r="J46" s="204"/>
      <c r="K46" s="162"/>
    </row>
    <row r="47" spans="1:11" s="24" customFormat="1" x14ac:dyDescent="0.2">
      <c r="A47" s="57" t="s">
        <v>194</v>
      </c>
      <c r="B47" s="109"/>
      <c r="C47" s="204">
        <v>2360</v>
      </c>
      <c r="D47" s="348">
        <v>2360</v>
      </c>
      <c r="E47" s="204">
        <v>0</v>
      </c>
      <c r="F47" s="354">
        <v>1660</v>
      </c>
      <c r="G47" s="261">
        <v>1660</v>
      </c>
      <c r="H47" s="204">
        <v>0</v>
      </c>
      <c r="I47" s="204">
        <v>1660</v>
      </c>
      <c r="J47" s="204"/>
      <c r="K47" s="162"/>
    </row>
    <row r="48" spans="1:11" x14ac:dyDescent="0.2">
      <c r="A48" s="54" t="s">
        <v>41</v>
      </c>
      <c r="B48" s="109"/>
      <c r="C48" s="204"/>
      <c r="D48" s="348"/>
      <c r="E48" s="204"/>
      <c r="F48" s="386"/>
      <c r="G48" s="261"/>
      <c r="H48" s="204"/>
      <c r="I48" s="204"/>
      <c r="J48" s="204"/>
      <c r="K48" s="162"/>
    </row>
    <row r="49" spans="1:11" s="27" customFormat="1" x14ac:dyDescent="0.2">
      <c r="A49" s="57" t="s">
        <v>195</v>
      </c>
      <c r="B49" s="109">
        <v>11547.24</v>
      </c>
      <c r="C49" s="204">
        <v>33978</v>
      </c>
      <c r="D49" s="348">
        <v>33978</v>
      </c>
      <c r="E49" s="204">
        <v>32062</v>
      </c>
      <c r="F49" s="354">
        <v>34830</v>
      </c>
      <c r="G49" s="261">
        <v>33252</v>
      </c>
      <c r="H49" s="204">
        <v>17482.79</v>
      </c>
      <c r="I49" s="204">
        <v>33346</v>
      </c>
      <c r="J49" s="204"/>
      <c r="K49" s="162"/>
    </row>
    <row r="50" spans="1:11" s="27" customFormat="1" x14ac:dyDescent="0.2">
      <c r="A50" s="57" t="s">
        <v>196</v>
      </c>
      <c r="B50" s="109">
        <v>1286.99</v>
      </c>
      <c r="C50" s="204">
        <v>2140</v>
      </c>
      <c r="D50" s="348">
        <v>2140</v>
      </c>
      <c r="E50" s="204">
        <v>2140</v>
      </c>
      <c r="F50" s="386">
        <v>2500</v>
      </c>
      <c r="G50" s="261">
        <v>3250</v>
      </c>
      <c r="H50" s="204">
        <f>4342.04-753.58</f>
        <v>3588.46</v>
      </c>
      <c r="I50" s="204">
        <v>3588</v>
      </c>
      <c r="J50" s="204"/>
      <c r="K50" s="162"/>
    </row>
    <row r="51" spans="1:11" x14ac:dyDescent="0.2">
      <c r="A51" s="54" t="s">
        <v>79</v>
      </c>
      <c r="B51" s="324">
        <v>976.16</v>
      </c>
      <c r="C51" s="204">
        <v>500</v>
      </c>
      <c r="D51" s="348">
        <v>500</v>
      </c>
      <c r="E51" s="204">
        <v>500</v>
      </c>
      <c r="F51" s="386">
        <v>700</v>
      </c>
      <c r="G51" s="261">
        <v>350</v>
      </c>
      <c r="H51" s="204">
        <v>324.86</v>
      </c>
      <c r="I51" s="204">
        <v>645</v>
      </c>
      <c r="J51" s="204"/>
      <c r="K51" s="162"/>
    </row>
    <row r="52" spans="1:11" x14ac:dyDescent="0.2">
      <c r="A52" s="51" t="s">
        <v>7</v>
      </c>
      <c r="B52" s="207">
        <f t="shared" ref="B52:J52" si="3">SUM(B43:B51)</f>
        <v>34140.19</v>
      </c>
      <c r="C52" s="207">
        <f t="shared" si="3"/>
        <v>46478</v>
      </c>
      <c r="D52" s="351">
        <f t="shared" si="3"/>
        <v>46478</v>
      </c>
      <c r="E52" s="207">
        <f t="shared" si="3"/>
        <v>38202</v>
      </c>
      <c r="F52" s="355">
        <f t="shared" si="3"/>
        <v>47169</v>
      </c>
      <c r="G52" s="407">
        <f t="shared" si="3"/>
        <v>47391</v>
      </c>
      <c r="H52" s="207">
        <f t="shared" si="3"/>
        <v>26425.11</v>
      </c>
      <c r="I52" s="207">
        <f t="shared" si="3"/>
        <v>48161</v>
      </c>
      <c r="J52" s="207">
        <f t="shared" si="3"/>
        <v>0</v>
      </c>
      <c r="K52" s="130">
        <f t="shared" ref="K52" si="4">SUM(K43:K51)</f>
        <v>0</v>
      </c>
    </row>
    <row r="53" spans="1:11" ht="12.75" customHeight="1" x14ac:dyDescent="0.2">
      <c r="A53" s="54"/>
      <c r="B53" s="323"/>
      <c r="C53" s="204"/>
      <c r="D53" s="348"/>
      <c r="E53" s="204"/>
      <c r="F53" s="386"/>
      <c r="G53" s="261"/>
      <c r="H53" s="204"/>
      <c r="I53" s="204"/>
      <c r="J53" s="204"/>
      <c r="K53" s="162"/>
    </row>
    <row r="54" spans="1:11" ht="15.75" customHeight="1" x14ac:dyDescent="0.2">
      <c r="A54" s="50" t="s">
        <v>8</v>
      </c>
      <c r="B54" s="109"/>
      <c r="C54" s="204"/>
      <c r="D54" s="348"/>
      <c r="E54" s="204"/>
      <c r="F54" s="386"/>
      <c r="G54" s="261"/>
      <c r="H54" s="204"/>
      <c r="I54" s="204"/>
      <c r="J54" s="204"/>
      <c r="K54" s="162"/>
    </row>
    <row r="55" spans="1:11" ht="12.75" customHeight="1" x14ac:dyDescent="0.2">
      <c r="A55" s="54" t="s">
        <v>348</v>
      </c>
      <c r="B55" s="109"/>
      <c r="C55" s="204"/>
      <c r="D55" s="348"/>
      <c r="E55" s="204"/>
      <c r="F55" s="386"/>
      <c r="G55" s="261"/>
      <c r="H55" s="204"/>
      <c r="I55" s="204"/>
      <c r="J55" s="204"/>
      <c r="K55" s="162"/>
    </row>
    <row r="56" spans="1:11" s="27" customFormat="1" x14ac:dyDescent="0.2">
      <c r="A56" s="57" t="s">
        <v>197</v>
      </c>
      <c r="B56" s="318">
        <v>9697.35</v>
      </c>
      <c r="C56" s="204">
        <v>5600</v>
      </c>
      <c r="D56" s="348">
        <v>5600</v>
      </c>
      <c r="E56" s="204">
        <v>1600</v>
      </c>
      <c r="F56" s="354">
        <v>5600</v>
      </c>
      <c r="G56" s="261">
        <v>5277</v>
      </c>
      <c r="H56" s="204">
        <v>2150</v>
      </c>
      <c r="I56" s="204">
        <v>5165</v>
      </c>
      <c r="J56" s="204"/>
      <c r="K56" s="162"/>
    </row>
    <row r="57" spans="1:11" s="27" customFormat="1" x14ac:dyDescent="0.2">
      <c r="A57" s="57" t="s">
        <v>198</v>
      </c>
      <c r="B57" s="318">
        <v>1373.8</v>
      </c>
      <c r="C57" s="204">
        <v>1660</v>
      </c>
      <c r="D57" s="348">
        <v>1660</v>
      </c>
      <c r="E57" s="204">
        <v>1660</v>
      </c>
      <c r="F57" s="354">
        <v>1686</v>
      </c>
      <c r="G57" s="261">
        <v>1686</v>
      </c>
      <c r="H57" s="204">
        <v>552</v>
      </c>
      <c r="I57" s="204">
        <v>1336</v>
      </c>
      <c r="J57" s="204"/>
      <c r="K57" s="162"/>
    </row>
    <row r="58" spans="1:11" x14ac:dyDescent="0.2">
      <c r="A58" s="54" t="s">
        <v>364</v>
      </c>
      <c r="B58" s="317"/>
      <c r="C58" s="204"/>
      <c r="D58" s="348"/>
      <c r="E58" s="204"/>
      <c r="F58" s="386"/>
      <c r="G58" s="261"/>
      <c r="H58" s="204"/>
      <c r="I58" s="204"/>
      <c r="J58" s="204"/>
      <c r="K58" s="162"/>
    </row>
    <row r="59" spans="1:11" s="27" customFormat="1" x14ac:dyDescent="0.2">
      <c r="A59" s="57" t="s">
        <v>199</v>
      </c>
      <c r="B59" s="318">
        <v>0</v>
      </c>
      <c r="C59" s="204">
        <v>0</v>
      </c>
      <c r="D59" s="348">
        <v>0</v>
      </c>
      <c r="E59" s="204">
        <v>0</v>
      </c>
      <c r="F59" s="386">
        <v>0</v>
      </c>
      <c r="G59" s="261">
        <v>0</v>
      </c>
      <c r="H59" s="204"/>
      <c r="I59" s="204"/>
      <c r="J59" s="381">
        <v>3200</v>
      </c>
      <c r="K59" s="162"/>
    </row>
    <row r="60" spans="1:11" s="27" customFormat="1" x14ac:dyDescent="0.2">
      <c r="A60" s="57" t="s">
        <v>200</v>
      </c>
      <c r="B60" s="318">
        <v>0</v>
      </c>
      <c r="C60" s="204">
        <v>1180</v>
      </c>
      <c r="D60" s="348">
        <v>1180</v>
      </c>
      <c r="E60" s="204">
        <v>1180</v>
      </c>
      <c r="F60" s="354">
        <v>1180</v>
      </c>
      <c r="G60" s="261">
        <v>1180</v>
      </c>
      <c r="H60" s="204"/>
      <c r="I60" s="204">
        <v>1180</v>
      </c>
      <c r="J60" s="208"/>
      <c r="K60" s="162"/>
    </row>
    <row r="61" spans="1:11" x14ac:dyDescent="0.2">
      <c r="A61" s="54" t="s">
        <v>345</v>
      </c>
      <c r="B61" s="317"/>
      <c r="C61" s="204"/>
      <c r="D61" s="348">
        <v>0</v>
      </c>
      <c r="E61" s="204"/>
      <c r="F61" s="386"/>
      <c r="G61" s="261"/>
      <c r="H61" s="204"/>
      <c r="I61" s="204"/>
      <c r="J61" s="204"/>
      <c r="K61" s="162"/>
    </row>
    <row r="62" spans="1:11" s="27" customFormat="1" x14ac:dyDescent="0.2">
      <c r="A62" s="57" t="s">
        <v>201</v>
      </c>
      <c r="B62" s="318">
        <v>7416.26</v>
      </c>
      <c r="C62" s="204">
        <v>0</v>
      </c>
      <c r="D62" s="348"/>
      <c r="E62" s="204">
        <v>0</v>
      </c>
      <c r="F62" s="386">
        <v>0</v>
      </c>
      <c r="G62" s="261">
        <v>0</v>
      </c>
      <c r="H62" s="204"/>
      <c r="I62" s="204"/>
      <c r="J62" s="204"/>
      <c r="K62" s="162"/>
    </row>
    <row r="63" spans="1:11" s="27" customFormat="1" x14ac:dyDescent="0.2">
      <c r="A63" s="57" t="s">
        <v>202</v>
      </c>
      <c r="B63" s="318">
        <v>2415.7199999999998</v>
      </c>
      <c r="C63" s="204">
        <v>2950</v>
      </c>
      <c r="D63" s="348">
        <v>2950</v>
      </c>
      <c r="E63" s="204">
        <v>2950</v>
      </c>
      <c r="F63" s="354">
        <v>2950</v>
      </c>
      <c r="G63" s="261">
        <v>2950</v>
      </c>
      <c r="H63" s="204"/>
      <c r="I63" s="204">
        <v>2950</v>
      </c>
      <c r="J63" s="204"/>
      <c r="K63" s="162"/>
    </row>
    <row r="64" spans="1:11" s="28" customFormat="1" x14ac:dyDescent="0.2">
      <c r="A64" s="95" t="s">
        <v>323</v>
      </c>
      <c r="B64" s="321"/>
      <c r="C64" s="208"/>
      <c r="D64" s="352"/>
      <c r="E64" s="208"/>
      <c r="F64" s="387"/>
      <c r="G64" s="408"/>
      <c r="H64" s="208"/>
      <c r="I64" s="204"/>
      <c r="J64" s="204"/>
      <c r="K64" s="358"/>
    </row>
    <row r="65" spans="1:11" s="27" customFormat="1" x14ac:dyDescent="0.2">
      <c r="A65" s="57" t="s">
        <v>324</v>
      </c>
      <c r="B65" s="318">
        <v>0</v>
      </c>
      <c r="C65" s="204">
        <v>0</v>
      </c>
      <c r="D65" s="348">
        <v>0</v>
      </c>
      <c r="E65" s="204">
        <v>0</v>
      </c>
      <c r="F65" s="386">
        <v>0</v>
      </c>
      <c r="G65" s="261">
        <v>0</v>
      </c>
      <c r="H65" s="204"/>
      <c r="I65" s="204"/>
      <c r="J65" s="204"/>
      <c r="K65" s="162"/>
    </row>
    <row r="66" spans="1:11" s="27" customFormat="1" x14ac:dyDescent="0.2">
      <c r="A66" s="57" t="s">
        <v>325</v>
      </c>
      <c r="B66" s="318">
        <v>0</v>
      </c>
      <c r="C66" s="204">
        <v>0</v>
      </c>
      <c r="D66" s="348">
        <v>0</v>
      </c>
      <c r="E66" s="204">
        <v>0</v>
      </c>
      <c r="F66" s="386">
        <v>0</v>
      </c>
      <c r="G66" s="261">
        <v>0</v>
      </c>
      <c r="H66" s="204"/>
      <c r="I66" s="204"/>
      <c r="J66" s="204"/>
      <c r="K66" s="162"/>
    </row>
    <row r="67" spans="1:11" x14ac:dyDescent="0.2">
      <c r="A67" s="54" t="s">
        <v>144</v>
      </c>
      <c r="B67" s="317"/>
      <c r="C67" s="204"/>
      <c r="D67" s="348"/>
      <c r="E67" s="204"/>
      <c r="F67" s="386"/>
      <c r="G67" s="261"/>
      <c r="H67" s="204"/>
      <c r="I67" s="204"/>
      <c r="J67" s="204"/>
      <c r="K67" s="162"/>
    </row>
    <row r="68" spans="1:11" s="27" customFormat="1" x14ac:dyDescent="0.2">
      <c r="A68" s="57" t="s">
        <v>326</v>
      </c>
      <c r="B68" s="318">
        <v>13720.47</v>
      </c>
      <c r="C68" s="204">
        <v>27182</v>
      </c>
      <c r="D68" s="348">
        <v>27182</v>
      </c>
      <c r="E68" s="204">
        <v>25649</v>
      </c>
      <c r="F68" s="354">
        <v>27864</v>
      </c>
      <c r="G68" s="261">
        <v>26602</v>
      </c>
      <c r="H68" s="204">
        <v>10914.28</v>
      </c>
      <c r="I68" s="204">
        <v>26677</v>
      </c>
      <c r="J68" s="204"/>
      <c r="K68" s="162"/>
    </row>
    <row r="69" spans="1:11" s="27" customFormat="1" x14ac:dyDescent="0.2">
      <c r="A69" s="57" t="s">
        <v>327</v>
      </c>
      <c r="B69" s="318">
        <v>1352.81</v>
      </c>
      <c r="C69" s="204">
        <v>2400</v>
      </c>
      <c r="D69" s="348">
        <v>2400</v>
      </c>
      <c r="E69" s="204">
        <v>2400</v>
      </c>
      <c r="F69" s="354">
        <v>2000</v>
      </c>
      <c r="G69" s="261">
        <v>2000</v>
      </c>
      <c r="H69" s="204">
        <v>1865.65</v>
      </c>
      <c r="I69" s="204">
        <v>1866</v>
      </c>
      <c r="J69" s="204"/>
      <c r="K69" s="162"/>
    </row>
    <row r="70" spans="1:11" x14ac:dyDescent="0.2">
      <c r="A70" s="54" t="s">
        <v>328</v>
      </c>
      <c r="B70" s="318">
        <v>463.34</v>
      </c>
      <c r="C70" s="204">
        <v>700</v>
      </c>
      <c r="D70" s="348">
        <v>700</v>
      </c>
      <c r="E70" s="204">
        <v>700</v>
      </c>
      <c r="F70" s="354">
        <v>300</v>
      </c>
      <c r="G70" s="261">
        <v>1111</v>
      </c>
      <c r="H70" s="204">
        <v>1022.96</v>
      </c>
      <c r="I70" s="204">
        <v>1115</v>
      </c>
      <c r="J70" s="275"/>
      <c r="K70" s="162"/>
    </row>
    <row r="71" spans="1:11" hidden="1" x14ac:dyDescent="0.2">
      <c r="A71" s="96" t="s">
        <v>145</v>
      </c>
      <c r="B71" s="41"/>
      <c r="C71" s="105"/>
      <c r="D71" s="349"/>
      <c r="E71" s="105"/>
      <c r="F71" s="105"/>
      <c r="G71" s="261"/>
      <c r="H71" s="105"/>
      <c r="I71" s="105"/>
      <c r="J71" s="105"/>
      <c r="K71" s="127"/>
    </row>
    <row r="72" spans="1:11" hidden="1" x14ac:dyDescent="0.2">
      <c r="A72" s="96" t="s">
        <v>329</v>
      </c>
      <c r="B72" s="41"/>
      <c r="C72" s="105"/>
      <c r="D72" s="349"/>
      <c r="E72" s="105"/>
      <c r="F72" s="105"/>
      <c r="G72" s="261"/>
      <c r="H72" s="105"/>
      <c r="I72" s="105"/>
      <c r="J72" s="105"/>
      <c r="K72" s="127"/>
    </row>
    <row r="73" spans="1:11" hidden="1" x14ac:dyDescent="0.2">
      <c r="A73" s="97" t="s">
        <v>330</v>
      </c>
      <c r="B73" s="41"/>
      <c r="C73" s="105"/>
      <c r="D73" s="349"/>
      <c r="E73" s="105"/>
      <c r="F73" s="105"/>
      <c r="G73" s="261"/>
      <c r="H73" s="105"/>
      <c r="I73" s="105"/>
      <c r="J73" s="105"/>
      <c r="K73" s="127"/>
    </row>
    <row r="74" spans="1:11" hidden="1" x14ac:dyDescent="0.2">
      <c r="A74" s="97" t="s">
        <v>331</v>
      </c>
      <c r="B74" s="41"/>
      <c r="C74" s="105"/>
      <c r="D74" s="349"/>
      <c r="E74" s="105"/>
      <c r="F74" s="105"/>
      <c r="G74" s="261"/>
      <c r="H74" s="105"/>
      <c r="I74" s="105"/>
      <c r="J74" s="105"/>
      <c r="K74" s="127"/>
    </row>
    <row r="75" spans="1:11" hidden="1" x14ac:dyDescent="0.2">
      <c r="A75" s="96" t="s">
        <v>332</v>
      </c>
      <c r="B75" s="41"/>
      <c r="C75" s="105"/>
      <c r="D75" s="349"/>
      <c r="E75" s="105"/>
      <c r="F75" s="105"/>
      <c r="G75" s="261"/>
      <c r="H75" s="105"/>
      <c r="I75" s="105"/>
      <c r="J75" s="105"/>
      <c r="K75" s="127"/>
    </row>
    <row r="76" spans="1:11" hidden="1" x14ac:dyDescent="0.2">
      <c r="A76" s="96" t="s">
        <v>333</v>
      </c>
      <c r="B76" s="41"/>
      <c r="C76" s="105"/>
      <c r="D76" s="349"/>
      <c r="E76" s="105"/>
      <c r="F76" s="105"/>
      <c r="G76" s="261"/>
      <c r="H76" s="105"/>
      <c r="I76" s="105"/>
      <c r="J76" s="105"/>
      <c r="K76" s="127"/>
    </row>
    <row r="77" spans="1:11" hidden="1" x14ac:dyDescent="0.2">
      <c r="A77" s="97" t="s">
        <v>334</v>
      </c>
      <c r="B77" s="41"/>
      <c r="C77" s="105"/>
      <c r="D77" s="349"/>
      <c r="E77" s="105"/>
      <c r="F77" s="105"/>
      <c r="G77" s="261"/>
      <c r="H77" s="105"/>
      <c r="I77" s="105"/>
      <c r="J77" s="105"/>
      <c r="K77" s="127"/>
    </row>
    <row r="78" spans="1:11" hidden="1" x14ac:dyDescent="0.2">
      <c r="A78" s="97" t="s">
        <v>335</v>
      </c>
      <c r="B78" s="41"/>
      <c r="C78" s="105"/>
      <c r="D78" s="349"/>
      <c r="E78" s="105"/>
      <c r="F78" s="105"/>
      <c r="G78" s="261"/>
      <c r="H78" s="105"/>
      <c r="I78" s="105"/>
      <c r="J78" s="105"/>
      <c r="K78" s="127"/>
    </row>
    <row r="79" spans="1:11" hidden="1" x14ac:dyDescent="0.2">
      <c r="A79" s="96" t="s">
        <v>336</v>
      </c>
      <c r="B79" s="41"/>
      <c r="C79" s="105"/>
      <c r="D79" s="349"/>
      <c r="E79" s="105"/>
      <c r="F79" s="105"/>
      <c r="G79" s="261"/>
      <c r="H79" s="105"/>
      <c r="I79" s="105"/>
      <c r="J79" s="105"/>
      <c r="K79" s="127"/>
    </row>
    <row r="80" spans="1:11" hidden="1" x14ac:dyDescent="0.2">
      <c r="A80" s="97" t="s">
        <v>337</v>
      </c>
      <c r="B80" s="41"/>
      <c r="C80" s="105"/>
      <c r="D80" s="349"/>
      <c r="E80" s="105"/>
      <c r="F80" s="105"/>
      <c r="G80" s="261"/>
      <c r="H80" s="105"/>
      <c r="I80" s="105"/>
      <c r="J80" s="105"/>
      <c r="K80" s="127"/>
    </row>
    <row r="81" spans="1:11" hidden="1" x14ac:dyDescent="0.2">
      <c r="A81" s="97" t="s">
        <v>338</v>
      </c>
      <c r="B81" s="41"/>
      <c r="C81" s="105"/>
      <c r="D81" s="349"/>
      <c r="E81" s="105"/>
      <c r="F81" s="105"/>
      <c r="G81" s="261"/>
      <c r="H81" s="105"/>
      <c r="I81" s="105"/>
      <c r="J81" s="105"/>
      <c r="K81" s="127"/>
    </row>
    <row r="82" spans="1:11" hidden="1" x14ac:dyDescent="0.2">
      <c r="A82" s="96" t="s">
        <v>339</v>
      </c>
      <c r="B82" s="41"/>
      <c r="C82" s="158"/>
      <c r="D82" s="348"/>
      <c r="E82" s="158"/>
      <c r="F82" s="158"/>
      <c r="G82" s="261"/>
      <c r="H82" s="158"/>
      <c r="I82" s="158"/>
      <c r="J82" s="158"/>
      <c r="K82" s="162"/>
    </row>
    <row r="83" spans="1:11" hidden="1" x14ac:dyDescent="0.2">
      <c r="A83" s="97" t="s">
        <v>340</v>
      </c>
      <c r="B83" s="41"/>
      <c r="C83" s="158"/>
      <c r="D83" s="348"/>
      <c r="E83" s="158"/>
      <c r="F83" s="158"/>
      <c r="G83" s="261"/>
      <c r="H83" s="158"/>
      <c r="I83" s="158"/>
      <c r="J83" s="158"/>
      <c r="K83" s="162"/>
    </row>
    <row r="84" spans="1:11" hidden="1" x14ac:dyDescent="0.2">
      <c r="A84" s="97" t="s">
        <v>341</v>
      </c>
      <c r="B84" s="41"/>
      <c r="C84" s="158"/>
      <c r="D84" s="348"/>
      <c r="E84" s="158"/>
      <c r="F84" s="158"/>
      <c r="G84" s="261"/>
      <c r="H84" s="168"/>
      <c r="I84" s="168"/>
      <c r="J84" s="158"/>
      <c r="K84" s="162"/>
    </row>
    <row r="85" spans="1:11" x14ac:dyDescent="0.2">
      <c r="A85" s="51" t="s">
        <v>9</v>
      </c>
      <c r="B85" s="325">
        <f t="shared" ref="B85:J85" si="5">SUM(B56:B84)</f>
        <v>36439.749999999993</v>
      </c>
      <c r="C85" s="207">
        <f t="shared" si="5"/>
        <v>41672</v>
      </c>
      <c r="D85" s="351">
        <f t="shared" si="5"/>
        <v>41672</v>
      </c>
      <c r="E85" s="207">
        <f t="shared" si="5"/>
        <v>36139</v>
      </c>
      <c r="F85" s="355">
        <f t="shared" si="5"/>
        <v>41580</v>
      </c>
      <c r="G85" s="407">
        <f t="shared" si="5"/>
        <v>40806</v>
      </c>
      <c r="H85" s="207">
        <f t="shared" si="5"/>
        <v>16504.89</v>
      </c>
      <c r="I85" s="207">
        <f t="shared" si="5"/>
        <v>40289</v>
      </c>
      <c r="J85" s="207">
        <f t="shared" si="5"/>
        <v>3200</v>
      </c>
      <c r="K85" s="130">
        <f t="shared" ref="K85" si="6">SUM(K56:K84)</f>
        <v>0</v>
      </c>
    </row>
    <row r="86" spans="1:11" ht="12.75" customHeight="1" x14ac:dyDescent="0.2">
      <c r="A86" s="54"/>
      <c r="B86" s="323"/>
      <c r="C86" s="204"/>
      <c r="D86" s="348"/>
      <c r="E86" s="204"/>
      <c r="F86" s="386"/>
      <c r="G86" s="261"/>
      <c r="H86" s="204"/>
      <c r="I86" s="204"/>
      <c r="J86" s="204"/>
      <c r="K86" s="162"/>
    </row>
    <row r="87" spans="1:11" ht="15.75" customHeight="1" x14ac:dyDescent="0.2">
      <c r="A87" s="50" t="s">
        <v>10</v>
      </c>
      <c r="B87" s="109"/>
      <c r="C87" s="204"/>
      <c r="D87" s="348"/>
      <c r="E87" s="204"/>
      <c r="F87" s="386"/>
      <c r="G87" s="261"/>
      <c r="H87" s="204"/>
      <c r="I87" s="204"/>
      <c r="J87" s="204"/>
      <c r="K87" s="162"/>
    </row>
    <row r="88" spans="1:11" ht="13.5" customHeight="1" x14ac:dyDescent="0.2">
      <c r="A88" s="54" t="s">
        <v>85</v>
      </c>
      <c r="B88" s="317"/>
      <c r="C88" s="204"/>
      <c r="D88" s="348"/>
      <c r="E88" s="204"/>
      <c r="F88" s="386"/>
      <c r="G88" s="261"/>
      <c r="H88" s="204"/>
      <c r="I88" s="204"/>
      <c r="J88" s="204"/>
      <c r="K88" s="162"/>
    </row>
    <row r="89" spans="1:11" s="27" customFormat="1" x14ac:dyDescent="0.2">
      <c r="A89" s="57" t="s">
        <v>203</v>
      </c>
      <c r="B89" s="318">
        <v>7500</v>
      </c>
      <c r="C89" s="204">
        <v>5600</v>
      </c>
      <c r="D89" s="348">
        <v>5600</v>
      </c>
      <c r="E89" s="204">
        <v>1600</v>
      </c>
      <c r="F89" s="354">
        <v>5600</v>
      </c>
      <c r="G89" s="261">
        <v>7000</v>
      </c>
      <c r="H89" s="204">
        <v>3000</v>
      </c>
      <c r="I89" s="204">
        <v>7000</v>
      </c>
      <c r="J89" s="204"/>
      <c r="K89" s="162"/>
    </row>
    <row r="90" spans="1:11" s="27" customFormat="1" x14ac:dyDescent="0.2">
      <c r="A90" s="57" t="s">
        <v>204</v>
      </c>
      <c r="B90" s="318">
        <v>1288.5999999999999</v>
      </c>
      <c r="C90" s="204">
        <v>1660</v>
      </c>
      <c r="D90" s="348">
        <v>1660</v>
      </c>
      <c r="E90" s="204">
        <v>1660</v>
      </c>
      <c r="F90" s="354">
        <v>1686</v>
      </c>
      <c r="G90" s="261">
        <v>1686</v>
      </c>
      <c r="H90" s="204">
        <v>543</v>
      </c>
      <c r="I90" s="204">
        <v>1327</v>
      </c>
      <c r="J90" s="204"/>
      <c r="K90" s="162"/>
    </row>
    <row r="91" spans="1:11" x14ac:dyDescent="0.2">
      <c r="A91" s="54" t="s">
        <v>346</v>
      </c>
      <c r="B91" s="317"/>
      <c r="C91" s="204"/>
      <c r="D91" s="348"/>
      <c r="E91" s="204"/>
      <c r="F91" s="354"/>
      <c r="G91" s="261"/>
      <c r="H91" s="204"/>
      <c r="I91" s="204"/>
      <c r="J91" s="204"/>
      <c r="K91" s="162"/>
    </row>
    <row r="92" spans="1:11" s="27" customFormat="1" x14ac:dyDescent="0.2">
      <c r="A92" s="57" t="s">
        <v>205</v>
      </c>
      <c r="B92" s="318">
        <v>0</v>
      </c>
      <c r="C92" s="204"/>
      <c r="D92" s="348"/>
      <c r="E92" s="204"/>
      <c r="F92" s="354"/>
      <c r="G92" s="261"/>
      <c r="H92" s="204"/>
      <c r="I92" s="204"/>
      <c r="J92" s="204"/>
      <c r="K92" s="162"/>
    </row>
    <row r="93" spans="1:11" s="27" customFormat="1" x14ac:dyDescent="0.2">
      <c r="A93" s="57" t="s">
        <v>206</v>
      </c>
      <c r="B93" s="318">
        <v>0</v>
      </c>
      <c r="C93" s="204"/>
      <c r="D93" s="348"/>
      <c r="E93" s="204"/>
      <c r="F93" s="354"/>
      <c r="G93" s="261"/>
      <c r="H93" s="204"/>
      <c r="I93" s="204"/>
      <c r="J93" s="204"/>
      <c r="K93" s="162"/>
    </row>
    <row r="94" spans="1:11" x14ac:dyDescent="0.2">
      <c r="A94" s="54" t="s">
        <v>42</v>
      </c>
      <c r="B94" s="317"/>
      <c r="C94" s="204"/>
      <c r="D94" s="348"/>
      <c r="E94" s="204"/>
      <c r="F94" s="354"/>
      <c r="G94" s="261"/>
      <c r="H94" s="204"/>
      <c r="I94" s="204"/>
      <c r="J94" s="204"/>
      <c r="K94" s="162"/>
    </row>
    <row r="95" spans="1:11" s="27" customFormat="1" x14ac:dyDescent="0.2">
      <c r="A95" s="57" t="s">
        <v>207</v>
      </c>
      <c r="B95" s="318">
        <v>8688.06</v>
      </c>
      <c r="C95" s="204">
        <v>20387</v>
      </c>
      <c r="D95" s="348">
        <v>20387</v>
      </c>
      <c r="E95" s="204">
        <v>19237</v>
      </c>
      <c r="F95" s="354">
        <v>20898</v>
      </c>
      <c r="G95" s="261">
        <v>19951</v>
      </c>
      <c r="H95" s="204">
        <v>8235.33</v>
      </c>
      <c r="I95" s="204">
        <v>20007</v>
      </c>
      <c r="J95" s="204"/>
      <c r="K95" s="162"/>
    </row>
    <row r="96" spans="1:11" s="27" customFormat="1" x14ac:dyDescent="0.2">
      <c r="A96" s="57" t="s">
        <v>208</v>
      </c>
      <c r="B96" s="318">
        <v>1138.3900000000001</v>
      </c>
      <c r="C96" s="204">
        <v>480</v>
      </c>
      <c r="D96" s="348">
        <v>480</v>
      </c>
      <c r="E96" s="204">
        <v>480</v>
      </c>
      <c r="F96" s="354">
        <v>900</v>
      </c>
      <c r="G96" s="261">
        <v>900</v>
      </c>
      <c r="H96" s="204">
        <f>1458.42+325.89</f>
        <v>1784.31</v>
      </c>
      <c r="I96" s="204">
        <v>1784</v>
      </c>
      <c r="J96" s="204"/>
      <c r="K96" s="162"/>
    </row>
    <row r="97" spans="1:11" x14ac:dyDescent="0.2">
      <c r="A97" s="54" t="s">
        <v>142</v>
      </c>
      <c r="B97" s="318">
        <v>0</v>
      </c>
      <c r="C97" s="204">
        <v>0</v>
      </c>
      <c r="D97" s="348">
        <v>0</v>
      </c>
      <c r="E97" s="204">
        <v>0</v>
      </c>
      <c r="F97" s="354">
        <v>0</v>
      </c>
      <c r="G97" s="261">
        <v>0</v>
      </c>
      <c r="H97" s="204"/>
      <c r="I97" s="204">
        <v>0</v>
      </c>
      <c r="J97" s="204"/>
      <c r="K97" s="162"/>
    </row>
    <row r="98" spans="1:11" x14ac:dyDescent="0.2">
      <c r="A98" s="51" t="s">
        <v>11</v>
      </c>
      <c r="B98" s="325">
        <f t="shared" ref="B98:J98" si="7">SUM(B89:B97)</f>
        <v>18615.05</v>
      </c>
      <c r="C98" s="207">
        <f t="shared" si="7"/>
        <v>28127</v>
      </c>
      <c r="D98" s="351">
        <f t="shared" si="7"/>
        <v>28127</v>
      </c>
      <c r="E98" s="207">
        <f t="shared" si="7"/>
        <v>22977</v>
      </c>
      <c r="F98" s="355">
        <f t="shared" si="7"/>
        <v>29084</v>
      </c>
      <c r="G98" s="407">
        <f t="shared" si="7"/>
        <v>29537</v>
      </c>
      <c r="H98" s="207">
        <f t="shared" si="7"/>
        <v>13562.64</v>
      </c>
      <c r="I98" s="207">
        <v>30119</v>
      </c>
      <c r="J98" s="207">
        <f t="shared" si="7"/>
        <v>0</v>
      </c>
      <c r="K98" s="130">
        <f t="shared" ref="K98" si="8">SUM(K89:K97)</f>
        <v>0</v>
      </c>
    </row>
    <row r="99" spans="1:11" x14ac:dyDescent="0.2">
      <c r="A99" s="54"/>
      <c r="B99" s="109"/>
      <c r="C99" s="204"/>
      <c r="D99" s="348"/>
      <c r="E99" s="204"/>
      <c r="F99" s="386"/>
      <c r="G99" s="261"/>
      <c r="H99" s="204"/>
      <c r="I99" s="204"/>
      <c r="J99" s="204"/>
      <c r="K99" s="162"/>
    </row>
    <row r="100" spans="1:11" x14ac:dyDescent="0.2">
      <c r="A100" s="50" t="s">
        <v>22</v>
      </c>
      <c r="B100" s="109"/>
      <c r="C100" s="204"/>
      <c r="D100" s="348"/>
      <c r="E100" s="204"/>
      <c r="F100" s="386"/>
      <c r="G100" s="261"/>
      <c r="H100" s="204"/>
      <c r="I100" s="204"/>
      <c r="J100" s="204"/>
      <c r="K100" s="162"/>
    </row>
    <row r="101" spans="1:11" x14ac:dyDescent="0.2">
      <c r="A101" s="54" t="s">
        <v>347</v>
      </c>
      <c r="B101" s="317"/>
      <c r="C101" s="204"/>
      <c r="D101" s="348"/>
      <c r="E101" s="204"/>
      <c r="F101" s="386"/>
      <c r="G101" s="261"/>
      <c r="H101" s="204"/>
      <c r="I101" s="204"/>
      <c r="J101" s="204"/>
      <c r="K101" s="162"/>
    </row>
    <row r="102" spans="1:11" s="27" customFormat="1" x14ac:dyDescent="0.2">
      <c r="A102" s="57" t="s">
        <v>209</v>
      </c>
      <c r="B102" s="318">
        <v>7000</v>
      </c>
      <c r="C102" s="204">
        <v>3600</v>
      </c>
      <c r="D102" s="348">
        <v>3600</v>
      </c>
      <c r="E102" s="204">
        <v>1600</v>
      </c>
      <c r="F102" s="354">
        <v>3600</v>
      </c>
      <c r="G102" s="261">
        <v>3070</v>
      </c>
      <c r="H102" s="204">
        <v>0</v>
      </c>
      <c r="I102" s="204">
        <v>3070</v>
      </c>
      <c r="J102" s="204"/>
      <c r="K102" s="162"/>
    </row>
    <row r="103" spans="1:11" s="27" customFormat="1" x14ac:dyDescent="0.2">
      <c r="A103" s="57" t="s">
        <v>210</v>
      </c>
      <c r="B103" s="318">
        <v>1646.23</v>
      </c>
      <c r="C103" s="204">
        <v>1660</v>
      </c>
      <c r="D103" s="348">
        <v>1660</v>
      </c>
      <c r="E103" s="204">
        <v>1660</v>
      </c>
      <c r="F103" s="354">
        <v>1716</v>
      </c>
      <c r="G103" s="261">
        <v>1716</v>
      </c>
      <c r="H103" s="204">
        <v>0</v>
      </c>
      <c r="I103" s="204">
        <v>1716</v>
      </c>
      <c r="J103" s="204"/>
      <c r="K103" s="162"/>
    </row>
    <row r="104" spans="1:11" x14ac:dyDescent="0.2">
      <c r="A104" s="54" t="s">
        <v>349</v>
      </c>
      <c r="B104" s="317"/>
      <c r="C104" s="204"/>
      <c r="D104" s="348"/>
      <c r="E104" s="204"/>
      <c r="F104" s="354"/>
      <c r="G104" s="261"/>
      <c r="H104" s="204"/>
      <c r="I104" s="204"/>
      <c r="J104" s="204"/>
      <c r="K104" s="162"/>
    </row>
    <row r="105" spans="1:11" s="27" customFormat="1" ht="12" customHeight="1" x14ac:dyDescent="0.2">
      <c r="A105" s="57" t="s">
        <v>211</v>
      </c>
      <c r="B105" s="318">
        <v>0</v>
      </c>
      <c r="C105" s="204"/>
      <c r="D105" s="348"/>
      <c r="E105" s="204"/>
      <c r="F105" s="354"/>
      <c r="G105" s="261"/>
      <c r="H105" s="204"/>
      <c r="I105" s="204"/>
      <c r="J105" s="204"/>
      <c r="K105" s="162"/>
    </row>
    <row r="106" spans="1:11" s="27" customFormat="1" x14ac:dyDescent="0.2">
      <c r="A106" s="57" t="s">
        <v>212</v>
      </c>
      <c r="B106" s="318">
        <v>0</v>
      </c>
      <c r="C106" s="204"/>
      <c r="D106" s="348"/>
      <c r="E106" s="204"/>
      <c r="F106" s="354"/>
      <c r="G106" s="261"/>
      <c r="H106" s="204"/>
      <c r="I106" s="204"/>
      <c r="J106" s="204"/>
      <c r="K106" s="162"/>
    </row>
    <row r="107" spans="1:11" x14ac:dyDescent="0.2">
      <c r="A107" s="54" t="s">
        <v>43</v>
      </c>
      <c r="B107" s="317"/>
      <c r="C107" s="204"/>
      <c r="D107" s="348"/>
      <c r="E107" s="204"/>
      <c r="F107" s="354"/>
      <c r="G107" s="261"/>
      <c r="H107" s="204"/>
      <c r="I107" s="204"/>
      <c r="J107" s="204"/>
      <c r="K107" s="162"/>
    </row>
    <row r="108" spans="1:11" s="27" customFormat="1" x14ac:dyDescent="0.2">
      <c r="A108" s="57" t="s">
        <v>213</v>
      </c>
      <c r="B108" s="318">
        <v>16843.349999999999</v>
      </c>
      <c r="C108" s="204">
        <v>23785</v>
      </c>
      <c r="D108" s="348">
        <v>23785</v>
      </c>
      <c r="E108" s="204">
        <v>22443</v>
      </c>
      <c r="F108" s="354">
        <v>24381</v>
      </c>
      <c r="G108" s="261">
        <v>23276</v>
      </c>
      <c r="H108" s="204">
        <v>8502.7099999999991</v>
      </c>
      <c r="I108" s="204">
        <v>23342</v>
      </c>
      <c r="J108" s="204"/>
      <c r="K108" s="162"/>
    </row>
    <row r="109" spans="1:11" s="27" customFormat="1" x14ac:dyDescent="0.2">
      <c r="A109" s="57" t="s">
        <v>214</v>
      </c>
      <c r="B109" s="318">
        <v>1736.96</v>
      </c>
      <c r="C109" s="204">
        <v>2100</v>
      </c>
      <c r="D109" s="348">
        <v>2100</v>
      </c>
      <c r="E109" s="204">
        <v>2100</v>
      </c>
      <c r="F109" s="354">
        <v>800</v>
      </c>
      <c r="G109" s="261">
        <v>800</v>
      </c>
      <c r="H109" s="204">
        <v>754.13</v>
      </c>
      <c r="I109" s="204">
        <v>782</v>
      </c>
      <c r="J109" s="204"/>
      <c r="K109" s="162"/>
    </row>
    <row r="110" spans="1:11" x14ac:dyDescent="0.2">
      <c r="A110" s="54" t="s">
        <v>143</v>
      </c>
      <c r="B110" s="318">
        <v>56.06</v>
      </c>
      <c r="C110" s="204">
        <v>0</v>
      </c>
      <c r="D110" s="348">
        <v>0</v>
      </c>
      <c r="E110" s="204">
        <v>0</v>
      </c>
      <c r="F110" s="354">
        <v>100</v>
      </c>
      <c r="G110" s="261">
        <v>100</v>
      </c>
      <c r="H110" s="204">
        <v>0</v>
      </c>
      <c r="I110" s="204">
        <v>0</v>
      </c>
      <c r="J110" s="204"/>
      <c r="K110" s="162"/>
    </row>
    <row r="111" spans="1:11" ht="12.75" customHeight="1" x14ac:dyDescent="0.2">
      <c r="A111" s="51" t="s">
        <v>215</v>
      </c>
      <c r="B111" s="325">
        <f t="shared" ref="B111:J111" si="9">SUM(B102:B110)</f>
        <v>27282.6</v>
      </c>
      <c r="C111" s="207">
        <f t="shared" si="9"/>
        <v>31145</v>
      </c>
      <c r="D111" s="351">
        <f t="shared" si="9"/>
        <v>31145</v>
      </c>
      <c r="E111" s="207">
        <f t="shared" si="9"/>
        <v>27803</v>
      </c>
      <c r="F111" s="355">
        <f t="shared" si="9"/>
        <v>30597</v>
      </c>
      <c r="G111" s="407">
        <f t="shared" si="9"/>
        <v>28962</v>
      </c>
      <c r="H111" s="207">
        <f t="shared" si="9"/>
        <v>9256.8399999999983</v>
      </c>
      <c r="I111" s="207">
        <f t="shared" si="9"/>
        <v>28910</v>
      </c>
      <c r="J111" s="207">
        <f t="shared" si="9"/>
        <v>0</v>
      </c>
      <c r="K111" s="130">
        <f t="shared" ref="K111" si="10">SUM(K102:K110)</f>
        <v>0</v>
      </c>
    </row>
    <row r="112" spans="1:11" x14ac:dyDescent="0.2">
      <c r="A112" s="54"/>
      <c r="B112" s="109"/>
      <c r="C112" s="204"/>
      <c r="D112" s="348"/>
      <c r="E112" s="204"/>
      <c r="F112" s="386"/>
      <c r="G112" s="261"/>
      <c r="H112" s="204"/>
      <c r="I112" s="204"/>
      <c r="J112" s="204"/>
      <c r="K112" s="162"/>
    </row>
    <row r="113" spans="1:11" x14ac:dyDescent="0.2">
      <c r="A113" s="50" t="s">
        <v>12</v>
      </c>
      <c r="B113" s="109"/>
      <c r="C113" s="204"/>
      <c r="D113" s="348"/>
      <c r="E113" s="204"/>
      <c r="F113" s="386"/>
      <c r="G113" s="261"/>
      <c r="H113" s="204"/>
      <c r="I113" s="204"/>
      <c r="J113" s="204"/>
      <c r="K113" s="162"/>
    </row>
    <row r="114" spans="1:11" x14ac:dyDescent="0.2">
      <c r="A114" s="54" t="s">
        <v>350</v>
      </c>
      <c r="B114" s="317"/>
      <c r="C114" s="204"/>
      <c r="D114" s="348"/>
      <c r="E114" s="204"/>
      <c r="F114" s="386"/>
      <c r="G114" s="261"/>
      <c r="H114" s="204"/>
      <c r="I114" s="204"/>
      <c r="J114" s="204"/>
      <c r="K114" s="162"/>
    </row>
    <row r="115" spans="1:11" s="27" customFormat="1" ht="13.5" customHeight="1" x14ac:dyDescent="0.2">
      <c r="A115" s="57" t="s">
        <v>342</v>
      </c>
      <c r="B115" s="318">
        <v>12500</v>
      </c>
      <c r="C115" s="204">
        <v>5600</v>
      </c>
      <c r="D115" s="348">
        <v>5600</v>
      </c>
      <c r="E115" s="204">
        <v>1600</v>
      </c>
      <c r="F115" s="354">
        <v>5600</v>
      </c>
      <c r="G115" s="261">
        <v>5820</v>
      </c>
      <c r="H115" s="204">
        <v>5261</v>
      </c>
      <c r="I115" s="204">
        <v>6138</v>
      </c>
      <c r="J115" s="204"/>
      <c r="K115" s="162"/>
    </row>
    <row r="116" spans="1:11" s="27" customFormat="1" x14ac:dyDescent="0.2">
      <c r="A116" s="57" t="s">
        <v>216</v>
      </c>
      <c r="B116" s="318">
        <v>1514.93</v>
      </c>
      <c r="C116" s="204">
        <v>1660</v>
      </c>
      <c r="D116" s="348">
        <v>1660</v>
      </c>
      <c r="E116" s="204">
        <v>1660</v>
      </c>
      <c r="F116" s="354">
        <v>1628</v>
      </c>
      <c r="G116" s="261">
        <v>1628</v>
      </c>
      <c r="H116" s="204">
        <v>1606</v>
      </c>
      <c r="I116" s="204">
        <v>1606</v>
      </c>
      <c r="J116" s="204"/>
      <c r="K116" s="162"/>
    </row>
    <row r="117" spans="1:11" s="26" customFormat="1" hidden="1" x14ac:dyDescent="0.2">
      <c r="A117" s="54" t="s">
        <v>217</v>
      </c>
      <c r="B117" s="317"/>
      <c r="C117" s="204"/>
      <c r="D117" s="348"/>
      <c r="E117" s="204"/>
      <c r="F117" s="354"/>
      <c r="G117" s="261"/>
      <c r="H117" s="204"/>
      <c r="I117" s="204">
        <f>G117</f>
        <v>0</v>
      </c>
      <c r="J117" s="204"/>
      <c r="K117" s="162"/>
    </row>
    <row r="118" spans="1:11" s="26" customFormat="1" hidden="1" x14ac:dyDescent="0.2">
      <c r="A118" s="57" t="s">
        <v>218</v>
      </c>
      <c r="B118" s="318">
        <v>0</v>
      </c>
      <c r="C118" s="204"/>
      <c r="D118" s="348"/>
      <c r="E118" s="204"/>
      <c r="F118" s="354"/>
      <c r="G118" s="261"/>
      <c r="H118" s="204"/>
      <c r="I118" s="204">
        <f>G118</f>
        <v>0</v>
      </c>
      <c r="J118" s="204"/>
      <c r="K118" s="162"/>
    </row>
    <row r="119" spans="1:11" s="26" customFormat="1" hidden="1" x14ac:dyDescent="0.2">
      <c r="A119" s="57" t="s">
        <v>219</v>
      </c>
      <c r="B119" s="318">
        <v>0</v>
      </c>
      <c r="C119" s="204"/>
      <c r="D119" s="348"/>
      <c r="E119" s="204"/>
      <c r="F119" s="354"/>
      <c r="G119" s="261"/>
      <c r="H119" s="204"/>
      <c r="I119" s="204">
        <f>G119</f>
        <v>0</v>
      </c>
      <c r="J119" s="204"/>
      <c r="K119" s="162"/>
    </row>
    <row r="120" spans="1:11" x14ac:dyDescent="0.2">
      <c r="A120" s="54" t="s">
        <v>413</v>
      </c>
      <c r="B120" s="317"/>
      <c r="C120" s="204"/>
      <c r="D120" s="348"/>
      <c r="E120" s="204"/>
      <c r="F120" s="354"/>
      <c r="G120" s="261"/>
      <c r="H120" s="204"/>
      <c r="I120" s="204"/>
      <c r="J120" s="204"/>
      <c r="K120" s="162"/>
    </row>
    <row r="121" spans="1:11" s="27" customFormat="1" x14ac:dyDescent="0.2">
      <c r="A121" s="57" t="s">
        <v>351</v>
      </c>
      <c r="B121" s="318">
        <v>0</v>
      </c>
      <c r="C121" s="204">
        <v>800</v>
      </c>
      <c r="D121" s="348">
        <v>800</v>
      </c>
      <c r="E121" s="204">
        <v>800</v>
      </c>
      <c r="F121" s="354">
        <v>800</v>
      </c>
      <c r="G121" s="261">
        <v>0</v>
      </c>
      <c r="H121" s="204"/>
      <c r="I121" s="204">
        <v>0</v>
      </c>
      <c r="J121" s="204"/>
      <c r="K121" s="162"/>
    </row>
    <row r="122" spans="1:11" s="27" customFormat="1" ht="12" customHeight="1" x14ac:dyDescent="0.2">
      <c r="A122" s="57" t="s">
        <v>352</v>
      </c>
      <c r="B122" s="318">
        <v>0</v>
      </c>
      <c r="C122" s="204">
        <v>1180</v>
      </c>
      <c r="D122" s="348">
        <v>1180</v>
      </c>
      <c r="E122" s="204">
        <v>1180</v>
      </c>
      <c r="F122" s="354">
        <v>1164</v>
      </c>
      <c r="G122" s="261">
        <v>0</v>
      </c>
      <c r="H122" s="204"/>
      <c r="I122" s="204">
        <v>0</v>
      </c>
      <c r="J122" s="204"/>
      <c r="K122" s="162"/>
    </row>
    <row r="123" spans="1:11" s="24" customFormat="1" ht="12" customHeight="1" x14ac:dyDescent="0.2">
      <c r="A123" s="54" t="s">
        <v>343</v>
      </c>
      <c r="B123" s="317"/>
      <c r="C123" s="204"/>
      <c r="D123" s="348"/>
      <c r="E123" s="204"/>
      <c r="F123" s="354"/>
      <c r="G123" s="261"/>
      <c r="H123" s="204"/>
      <c r="I123" s="204"/>
      <c r="J123" s="204"/>
      <c r="K123" s="162"/>
    </row>
    <row r="124" spans="1:11" s="24" customFormat="1" ht="12" customHeight="1" x14ac:dyDescent="0.2">
      <c r="A124" s="57" t="s">
        <v>220</v>
      </c>
      <c r="B124" s="318">
        <v>0</v>
      </c>
      <c r="C124" s="204"/>
      <c r="D124" s="348"/>
      <c r="E124" s="204"/>
      <c r="F124" s="354"/>
      <c r="G124" s="261"/>
      <c r="H124" s="204"/>
      <c r="I124" s="204"/>
      <c r="J124" s="204"/>
      <c r="K124" s="162"/>
    </row>
    <row r="125" spans="1:11" s="24" customFormat="1" ht="12" customHeight="1" x14ac:dyDescent="0.2">
      <c r="A125" s="57" t="s">
        <v>221</v>
      </c>
      <c r="B125" s="318">
        <v>0</v>
      </c>
      <c r="C125" s="204"/>
      <c r="D125" s="348"/>
      <c r="E125" s="204"/>
      <c r="F125" s="354"/>
      <c r="G125" s="261"/>
      <c r="H125" s="204"/>
      <c r="I125" s="204"/>
      <c r="J125" s="204"/>
      <c r="K125" s="162"/>
    </row>
    <row r="126" spans="1:11" x14ac:dyDescent="0.2">
      <c r="A126" s="54" t="s">
        <v>86</v>
      </c>
      <c r="B126" s="317"/>
      <c r="C126" s="204"/>
      <c r="D126" s="348"/>
      <c r="E126" s="204"/>
      <c r="F126" s="354"/>
      <c r="G126" s="261"/>
      <c r="H126" s="204"/>
      <c r="I126" s="204"/>
      <c r="J126" s="204"/>
      <c r="K126" s="162"/>
    </row>
    <row r="127" spans="1:11" s="27" customFormat="1" x14ac:dyDescent="0.2">
      <c r="A127" s="57" t="s">
        <v>222</v>
      </c>
      <c r="B127" s="318">
        <v>11816.22</v>
      </c>
      <c r="C127" s="204">
        <v>33978</v>
      </c>
      <c r="D127" s="348">
        <v>33978</v>
      </c>
      <c r="E127" s="204">
        <v>32062</v>
      </c>
      <c r="F127" s="354">
        <v>34830</v>
      </c>
      <c r="G127" s="261">
        <v>33252</v>
      </c>
      <c r="H127" s="204">
        <v>11225.6</v>
      </c>
      <c r="I127" s="204">
        <v>33346</v>
      </c>
      <c r="J127" s="204"/>
      <c r="K127" s="162"/>
    </row>
    <row r="128" spans="1:11" s="27" customFormat="1" x14ac:dyDescent="0.2">
      <c r="A128" s="57" t="s">
        <v>223</v>
      </c>
      <c r="B128" s="318">
        <v>2411.39</v>
      </c>
      <c r="C128" s="204">
        <v>1420</v>
      </c>
      <c r="D128" s="348">
        <v>1420</v>
      </c>
      <c r="E128" s="204">
        <v>1420</v>
      </c>
      <c r="F128" s="354">
        <v>1420</v>
      </c>
      <c r="G128" s="261">
        <v>2532</v>
      </c>
      <c r="H128" s="204">
        <f>2344.26-98+326+76.68+615</f>
        <v>3263.94</v>
      </c>
      <c r="I128" s="204">
        <v>3264</v>
      </c>
      <c r="J128" s="204"/>
      <c r="K128" s="162"/>
    </row>
    <row r="129" spans="1:11" x14ac:dyDescent="0.2">
      <c r="A129" s="54" t="s">
        <v>87</v>
      </c>
      <c r="B129" s="318">
        <v>276.62</v>
      </c>
      <c r="C129" s="204">
        <v>0</v>
      </c>
      <c r="D129" s="348">
        <v>0</v>
      </c>
      <c r="E129" s="204">
        <v>0</v>
      </c>
      <c r="F129" s="354">
        <v>700</v>
      </c>
      <c r="G129" s="261">
        <v>700</v>
      </c>
      <c r="H129" s="204">
        <v>996.91</v>
      </c>
      <c r="I129" s="204">
        <v>1400</v>
      </c>
      <c r="J129" s="204"/>
      <c r="K129" s="162"/>
    </row>
    <row r="130" spans="1:11" x14ac:dyDescent="0.2">
      <c r="A130" s="51" t="s">
        <v>13</v>
      </c>
      <c r="B130" s="325">
        <f t="shared" ref="B130:J130" si="11">SUM(B115:B129)</f>
        <v>28519.16</v>
      </c>
      <c r="C130" s="207">
        <f t="shared" si="11"/>
        <v>44638</v>
      </c>
      <c r="D130" s="351">
        <f t="shared" si="11"/>
        <v>44638</v>
      </c>
      <c r="E130" s="207">
        <f t="shared" si="11"/>
        <v>38722</v>
      </c>
      <c r="F130" s="355">
        <f t="shared" si="11"/>
        <v>46142</v>
      </c>
      <c r="G130" s="407">
        <f t="shared" si="11"/>
        <v>43932</v>
      </c>
      <c r="H130" s="207">
        <v>22354</v>
      </c>
      <c r="I130" s="207">
        <f t="shared" si="11"/>
        <v>45754</v>
      </c>
      <c r="J130" s="207">
        <f t="shared" si="11"/>
        <v>0</v>
      </c>
      <c r="K130" s="130">
        <f t="shared" ref="K130" si="12">SUM(K115:K129)</f>
        <v>0</v>
      </c>
    </row>
    <row r="131" spans="1:11" ht="12.75" customHeight="1" x14ac:dyDescent="0.2">
      <c r="A131" s="54"/>
      <c r="B131" s="109"/>
      <c r="C131" s="204"/>
      <c r="D131" s="348"/>
      <c r="E131" s="204"/>
      <c r="F131" s="386"/>
      <c r="G131" s="261"/>
      <c r="H131" s="204"/>
      <c r="I131" s="204"/>
      <c r="J131" s="204"/>
      <c r="K131" s="162"/>
    </row>
    <row r="132" spans="1:11" x14ac:dyDescent="0.2">
      <c r="A132" s="50" t="s">
        <v>14</v>
      </c>
      <c r="B132" s="109"/>
      <c r="C132" s="204"/>
      <c r="D132" s="348"/>
      <c r="E132" s="204"/>
      <c r="F132" s="386"/>
      <c r="G132" s="261"/>
      <c r="H132" s="204"/>
      <c r="I132" s="204"/>
      <c r="J132" s="204"/>
      <c r="K132" s="162"/>
    </row>
    <row r="133" spans="1:11" x14ac:dyDescent="0.2">
      <c r="A133" s="54" t="s">
        <v>88</v>
      </c>
      <c r="B133" s="317"/>
      <c r="C133" s="204"/>
      <c r="D133" s="348"/>
      <c r="E133" s="204"/>
      <c r="F133" s="386"/>
      <c r="G133" s="261"/>
      <c r="H133" s="204"/>
      <c r="I133" s="204"/>
      <c r="J133" s="204"/>
      <c r="K133" s="162"/>
    </row>
    <row r="134" spans="1:11" s="27" customFormat="1" x14ac:dyDescent="0.2">
      <c r="A134" s="57" t="s">
        <v>224</v>
      </c>
      <c r="B134" s="318">
        <v>11203.57</v>
      </c>
      <c r="C134" s="204">
        <v>11600</v>
      </c>
      <c r="D134" s="348">
        <v>11600</v>
      </c>
      <c r="E134" s="204">
        <v>2400</v>
      </c>
      <c r="F134" s="354">
        <v>11600</v>
      </c>
      <c r="G134" s="261">
        <v>8304</v>
      </c>
      <c r="H134" s="261">
        <v>0</v>
      </c>
      <c r="I134" s="204">
        <v>8304</v>
      </c>
      <c r="J134" s="204"/>
      <c r="K134" s="162"/>
    </row>
    <row r="135" spans="1:11" s="27" customFormat="1" x14ac:dyDescent="0.2">
      <c r="A135" s="57" t="s">
        <v>225</v>
      </c>
      <c r="B135" s="318">
        <v>2202.37</v>
      </c>
      <c r="C135" s="204">
        <v>2140</v>
      </c>
      <c r="D135" s="348">
        <v>2140</v>
      </c>
      <c r="E135" s="204">
        <v>2140</v>
      </c>
      <c r="F135" s="354">
        <v>1840</v>
      </c>
      <c r="G135" s="261">
        <v>1840</v>
      </c>
      <c r="H135" s="261">
        <v>0</v>
      </c>
      <c r="I135" s="204">
        <v>1840</v>
      </c>
      <c r="J135" s="204"/>
      <c r="K135" s="162"/>
    </row>
    <row r="136" spans="1:11" s="27" customFormat="1" x14ac:dyDescent="0.2">
      <c r="A136" s="95" t="s">
        <v>353</v>
      </c>
      <c r="B136" s="321"/>
      <c r="C136" s="204"/>
      <c r="D136" s="348"/>
      <c r="E136" s="204"/>
      <c r="F136" s="354"/>
      <c r="G136" s="261"/>
      <c r="H136" s="204"/>
      <c r="I136" s="204"/>
      <c r="J136" s="204"/>
      <c r="K136" s="162"/>
    </row>
    <row r="137" spans="1:11" s="27" customFormat="1" x14ac:dyDescent="0.2">
      <c r="A137" s="57" t="s">
        <v>226</v>
      </c>
      <c r="B137" s="318">
        <v>0</v>
      </c>
      <c r="C137" s="204">
        <v>0</v>
      </c>
      <c r="D137" s="348">
        <v>0</v>
      </c>
      <c r="E137" s="204">
        <v>0</v>
      </c>
      <c r="F137" s="354">
        <v>0</v>
      </c>
      <c r="G137" s="261">
        <v>0</v>
      </c>
      <c r="H137" s="204"/>
      <c r="I137" s="204"/>
      <c r="J137" s="204"/>
      <c r="K137" s="162"/>
    </row>
    <row r="138" spans="1:11" s="27" customFormat="1" x14ac:dyDescent="0.2">
      <c r="A138" s="57" t="s">
        <v>227</v>
      </c>
      <c r="B138" s="318">
        <v>0</v>
      </c>
      <c r="C138" s="204">
        <v>0</v>
      </c>
      <c r="D138" s="348">
        <v>0</v>
      </c>
      <c r="E138" s="204">
        <v>0</v>
      </c>
      <c r="F138" s="354">
        <v>0</v>
      </c>
      <c r="G138" s="261">
        <v>0</v>
      </c>
      <c r="H138" s="204"/>
      <c r="I138" s="204"/>
      <c r="J138" s="204"/>
      <c r="K138" s="162"/>
    </row>
    <row r="139" spans="1:11" x14ac:dyDescent="0.2">
      <c r="A139" s="54" t="s">
        <v>89</v>
      </c>
      <c r="B139" s="317"/>
      <c r="C139" s="204"/>
      <c r="D139" s="348"/>
      <c r="E139" s="204"/>
      <c r="F139" s="354"/>
      <c r="G139" s="261"/>
      <c r="H139" s="204"/>
      <c r="I139" s="204"/>
      <c r="J139" s="204"/>
      <c r="K139" s="162"/>
    </row>
    <row r="140" spans="1:11" s="27" customFormat="1" x14ac:dyDescent="0.2">
      <c r="A140" s="57" t="s">
        <v>228</v>
      </c>
      <c r="B140" s="318">
        <v>0</v>
      </c>
      <c r="C140" s="204"/>
      <c r="D140" s="348"/>
      <c r="E140" s="204"/>
      <c r="F140" s="354"/>
      <c r="G140" s="261"/>
      <c r="H140" s="204"/>
      <c r="I140" s="204"/>
      <c r="J140" s="204"/>
      <c r="K140" s="162"/>
    </row>
    <row r="141" spans="1:11" s="27" customFormat="1" x14ac:dyDescent="0.2">
      <c r="A141" s="57" t="s">
        <v>229</v>
      </c>
      <c r="B141" s="318">
        <v>0</v>
      </c>
      <c r="C141" s="204"/>
      <c r="D141" s="348"/>
      <c r="E141" s="204"/>
      <c r="F141" s="354"/>
      <c r="G141" s="261"/>
      <c r="H141" s="204"/>
      <c r="I141" s="204"/>
      <c r="J141" s="204"/>
      <c r="K141" s="162"/>
    </row>
    <row r="142" spans="1:11" x14ac:dyDescent="0.2">
      <c r="A142" s="54" t="s">
        <v>44</v>
      </c>
      <c r="B142" s="317"/>
      <c r="C142" s="204"/>
      <c r="D142" s="348"/>
      <c r="E142" s="204"/>
      <c r="F142" s="354"/>
      <c r="G142" s="261"/>
      <c r="H142" s="204"/>
      <c r="I142" s="204"/>
      <c r="J142" s="204"/>
      <c r="K142" s="162"/>
    </row>
    <row r="143" spans="1:11" s="27" customFormat="1" x14ac:dyDescent="0.2">
      <c r="A143" s="57" t="s">
        <v>230</v>
      </c>
      <c r="B143" s="318">
        <v>114765.53</v>
      </c>
      <c r="C143" s="204">
        <v>142708</v>
      </c>
      <c r="D143" s="348">
        <v>142708</v>
      </c>
      <c r="E143" s="204">
        <v>134660</v>
      </c>
      <c r="F143" s="354">
        <v>146286</v>
      </c>
      <c r="G143" s="261">
        <v>139658</v>
      </c>
      <c r="H143" s="204">
        <v>99178.03</v>
      </c>
      <c r="I143" s="204">
        <v>140052</v>
      </c>
      <c r="J143" s="204"/>
      <c r="K143" s="162"/>
    </row>
    <row r="144" spans="1:11" s="27" customFormat="1" x14ac:dyDescent="0.2">
      <c r="A144" s="57" t="s">
        <v>231</v>
      </c>
      <c r="B144" s="318">
        <v>4633.68</v>
      </c>
      <c r="C144" s="204">
        <v>5680</v>
      </c>
      <c r="D144" s="348">
        <v>5680</v>
      </c>
      <c r="E144" s="204">
        <v>5680</v>
      </c>
      <c r="F144" s="354">
        <v>5680</v>
      </c>
      <c r="G144" s="261">
        <v>5680</v>
      </c>
      <c r="H144" s="204">
        <f>3392.06+361.27+240+240</f>
        <v>4233.33</v>
      </c>
      <c r="I144" s="204">
        <v>5052</v>
      </c>
      <c r="J144" s="204"/>
      <c r="K144" s="162"/>
    </row>
    <row r="145" spans="1:11" x14ac:dyDescent="0.2">
      <c r="A145" s="95" t="s">
        <v>55</v>
      </c>
      <c r="B145" s="321"/>
      <c r="C145" s="204"/>
      <c r="D145" s="348"/>
      <c r="E145" s="204"/>
      <c r="F145" s="354"/>
      <c r="G145" s="261"/>
      <c r="H145" s="204"/>
      <c r="I145" s="204"/>
      <c r="J145" s="204"/>
      <c r="K145" s="162"/>
    </row>
    <row r="146" spans="1:11" s="27" customFormat="1" x14ac:dyDescent="0.2">
      <c r="A146" s="57" t="s">
        <v>45</v>
      </c>
      <c r="B146" s="318">
        <v>76938.240000000005</v>
      </c>
      <c r="C146" s="204">
        <v>89200</v>
      </c>
      <c r="D146" s="348">
        <v>89200</v>
      </c>
      <c r="E146" s="204">
        <v>92800</v>
      </c>
      <c r="F146" s="354">
        <f>254*400</f>
        <v>101600</v>
      </c>
      <c r="G146" s="261">
        <v>103650</v>
      </c>
      <c r="H146" s="204">
        <v>13266</v>
      </c>
      <c r="I146" s="204">
        <v>102850</v>
      </c>
      <c r="J146" s="204"/>
      <c r="K146" s="162"/>
    </row>
    <row r="147" spans="1:11" s="27" customFormat="1" x14ac:dyDescent="0.2">
      <c r="A147" s="57" t="s">
        <v>90</v>
      </c>
      <c r="B147" s="318">
        <v>0</v>
      </c>
      <c r="C147" s="204">
        <v>0</v>
      </c>
      <c r="D147" s="348">
        <v>0</v>
      </c>
      <c r="E147" s="204">
        <v>0</v>
      </c>
      <c r="F147" s="354">
        <v>0</v>
      </c>
      <c r="G147" s="261">
        <v>0</v>
      </c>
      <c r="H147" s="204"/>
      <c r="I147" s="204"/>
      <c r="J147" s="204"/>
      <c r="K147" s="162"/>
    </row>
    <row r="148" spans="1:11" x14ac:dyDescent="0.2">
      <c r="A148" s="95" t="s">
        <v>123</v>
      </c>
      <c r="B148" s="318">
        <v>3175.55</v>
      </c>
      <c r="C148" s="204">
        <v>2000</v>
      </c>
      <c r="D148" s="348">
        <v>2000</v>
      </c>
      <c r="E148" s="204">
        <v>2000</v>
      </c>
      <c r="F148" s="354">
        <v>3000</v>
      </c>
      <c r="G148" s="261">
        <v>2500</v>
      </c>
      <c r="H148" s="204">
        <v>1193.68</v>
      </c>
      <c r="I148" s="204">
        <v>1805</v>
      </c>
      <c r="J148" s="204"/>
      <c r="K148" s="162"/>
    </row>
    <row r="149" spans="1:11" x14ac:dyDescent="0.2">
      <c r="A149" s="98" t="s">
        <v>232</v>
      </c>
      <c r="B149" s="42"/>
      <c r="C149" s="105"/>
      <c r="D149" s="105"/>
      <c r="E149" s="105"/>
      <c r="F149" s="105"/>
      <c r="G149" s="211"/>
      <c r="H149" s="105"/>
      <c r="I149" s="105"/>
      <c r="J149" s="105"/>
      <c r="K149" s="105"/>
    </row>
    <row r="150" spans="1:11" x14ac:dyDescent="0.2">
      <c r="A150" s="98" t="s">
        <v>233</v>
      </c>
      <c r="B150" s="42"/>
      <c r="C150" s="105"/>
      <c r="D150" s="105"/>
      <c r="E150" s="105"/>
      <c r="F150" s="105"/>
      <c r="G150" s="211"/>
      <c r="H150" s="105"/>
      <c r="I150" s="105"/>
      <c r="J150" s="105"/>
      <c r="K150" s="105"/>
    </row>
    <row r="151" spans="1:11" x14ac:dyDescent="0.2">
      <c r="A151" s="99" t="s">
        <v>234</v>
      </c>
      <c r="B151" s="42"/>
      <c r="C151" s="105"/>
      <c r="D151" s="105"/>
      <c r="E151" s="105"/>
      <c r="F151" s="105"/>
      <c r="G151" s="211"/>
      <c r="H151" s="105"/>
      <c r="I151" s="105"/>
      <c r="J151" s="105"/>
      <c r="K151" s="105"/>
    </row>
    <row r="152" spans="1:11" ht="14.25" customHeight="1" x14ac:dyDescent="0.2">
      <c r="A152" s="99" t="s">
        <v>235</v>
      </c>
      <c r="B152" s="42"/>
      <c r="C152" s="105"/>
      <c r="D152" s="105"/>
      <c r="E152" s="105"/>
      <c r="F152" s="105"/>
      <c r="G152" s="211"/>
      <c r="H152" s="105"/>
      <c r="I152" s="105"/>
      <c r="J152" s="105"/>
      <c r="K152" s="105"/>
    </row>
    <row r="153" spans="1:11" s="26" customFormat="1" x14ac:dyDescent="0.2">
      <c r="A153" s="100" t="s">
        <v>236</v>
      </c>
      <c r="B153" s="42"/>
      <c r="C153" s="105"/>
      <c r="D153" s="105"/>
      <c r="E153" s="105"/>
      <c r="F153" s="105"/>
      <c r="G153" s="211"/>
      <c r="H153" s="105"/>
      <c r="I153" s="105"/>
      <c r="J153" s="105"/>
      <c r="K153" s="105"/>
    </row>
    <row r="154" spans="1:11" s="26" customFormat="1" x14ac:dyDescent="0.2">
      <c r="A154" s="99" t="s">
        <v>237</v>
      </c>
      <c r="B154" s="42"/>
      <c r="C154" s="105"/>
      <c r="D154" s="105"/>
      <c r="E154" s="105"/>
      <c r="F154" s="105"/>
      <c r="G154" s="211"/>
      <c r="H154" s="105"/>
      <c r="I154" s="105"/>
      <c r="J154" s="105"/>
      <c r="K154" s="105"/>
    </row>
    <row r="155" spans="1:11" s="26" customFormat="1" x14ac:dyDescent="0.2">
      <c r="A155" s="99" t="s">
        <v>238</v>
      </c>
      <c r="B155" s="42"/>
      <c r="C155" s="105"/>
      <c r="D155" s="105"/>
      <c r="E155" s="105"/>
      <c r="F155" s="105"/>
      <c r="G155" s="211"/>
      <c r="H155" s="105"/>
      <c r="I155" s="105"/>
      <c r="J155" s="105"/>
      <c r="K155" s="105"/>
    </row>
    <row r="156" spans="1:11" x14ac:dyDescent="0.2">
      <c r="A156" s="100" t="s">
        <v>159</v>
      </c>
      <c r="B156" s="42"/>
      <c r="C156" s="105"/>
      <c r="D156" s="105"/>
      <c r="E156" s="105"/>
      <c r="F156" s="105"/>
      <c r="G156" s="211"/>
      <c r="H156" s="105"/>
      <c r="I156" s="105"/>
      <c r="J156" s="105"/>
      <c r="K156" s="105"/>
    </row>
    <row r="157" spans="1:11" x14ac:dyDescent="0.2">
      <c r="A157" s="100" t="s">
        <v>239</v>
      </c>
      <c r="B157" s="42"/>
      <c r="C157" s="105"/>
      <c r="D157" s="105"/>
      <c r="E157" s="105"/>
      <c r="F157" s="105"/>
      <c r="G157" s="211"/>
      <c r="H157" s="105"/>
      <c r="I157" s="105"/>
      <c r="J157" s="105"/>
      <c r="K157" s="105"/>
    </row>
    <row r="158" spans="1:11" x14ac:dyDescent="0.2">
      <c r="A158" s="99" t="s">
        <v>240</v>
      </c>
      <c r="B158" s="42"/>
      <c r="C158" s="105"/>
      <c r="D158" s="105"/>
      <c r="E158" s="105"/>
      <c r="F158" s="105"/>
      <c r="G158" s="211"/>
      <c r="H158" s="105"/>
      <c r="I158" s="105"/>
      <c r="J158" s="105"/>
      <c r="K158" s="105"/>
    </row>
    <row r="159" spans="1:11" x14ac:dyDescent="0.2">
      <c r="A159" s="99" t="s">
        <v>160</v>
      </c>
      <c r="B159" s="42"/>
      <c r="C159" s="105"/>
      <c r="D159" s="105"/>
      <c r="E159" s="105"/>
      <c r="F159" s="105"/>
      <c r="G159" s="211"/>
      <c r="H159" s="105"/>
      <c r="I159" s="105"/>
      <c r="J159" s="105"/>
      <c r="K159" s="105"/>
    </row>
    <row r="160" spans="1:11" x14ac:dyDescent="0.2">
      <c r="A160" s="100" t="s">
        <v>241</v>
      </c>
      <c r="B160" s="42"/>
      <c r="C160" s="105"/>
      <c r="D160" s="105"/>
      <c r="E160" s="105"/>
      <c r="F160" s="105"/>
      <c r="G160" s="211"/>
      <c r="H160" s="105"/>
      <c r="I160" s="105"/>
      <c r="J160" s="105"/>
      <c r="K160" s="105"/>
    </row>
    <row r="161" spans="1:11" x14ac:dyDescent="0.2">
      <c r="A161" s="99" t="s">
        <v>242</v>
      </c>
      <c r="B161" s="42"/>
      <c r="C161" s="105"/>
      <c r="D161" s="105"/>
      <c r="E161" s="105"/>
      <c r="F161" s="105"/>
      <c r="G161" s="211"/>
      <c r="H161" s="105"/>
      <c r="I161" s="105"/>
      <c r="J161" s="105"/>
      <c r="K161" s="105"/>
    </row>
    <row r="162" spans="1:11" x14ac:dyDescent="0.2">
      <c r="A162" s="99" t="s">
        <v>161</v>
      </c>
      <c r="B162" s="42"/>
      <c r="C162" s="105"/>
      <c r="D162" s="105"/>
      <c r="E162" s="105"/>
      <c r="F162" s="105"/>
      <c r="G162" s="211"/>
      <c r="H162" s="118"/>
      <c r="I162" s="118"/>
      <c r="J162" s="105"/>
      <c r="K162" s="105"/>
    </row>
    <row r="163" spans="1:11" x14ac:dyDescent="0.2">
      <c r="A163" s="51" t="s">
        <v>15</v>
      </c>
      <c r="B163" s="325">
        <f t="shared" ref="B163:J163" si="13">SUM(B134:B162)</f>
        <v>212918.94</v>
      </c>
      <c r="C163" s="207">
        <f t="shared" si="13"/>
        <v>253328</v>
      </c>
      <c r="D163" s="351">
        <f t="shared" si="13"/>
        <v>253328</v>
      </c>
      <c r="E163" s="207">
        <f t="shared" si="13"/>
        <v>239680</v>
      </c>
      <c r="F163" s="355">
        <f t="shared" si="13"/>
        <v>270006</v>
      </c>
      <c r="G163" s="407">
        <f t="shared" si="13"/>
        <v>261632</v>
      </c>
      <c r="H163" s="207">
        <f t="shared" si="13"/>
        <v>117871.03999999999</v>
      </c>
      <c r="I163" s="207">
        <f t="shared" si="13"/>
        <v>259903</v>
      </c>
      <c r="J163" s="207">
        <f t="shared" si="13"/>
        <v>0</v>
      </c>
      <c r="K163" s="130">
        <f t="shared" ref="K163" si="14">SUM(K134:K162)</f>
        <v>0</v>
      </c>
    </row>
    <row r="164" spans="1:11" x14ac:dyDescent="0.2">
      <c r="A164" s="54"/>
      <c r="B164" s="109"/>
      <c r="C164" s="204"/>
      <c r="D164" s="348"/>
      <c r="E164" s="204"/>
      <c r="F164" s="386"/>
      <c r="G164" s="261"/>
      <c r="H164" s="204"/>
      <c r="I164" s="204"/>
      <c r="J164" s="204"/>
      <c r="K164" s="162"/>
    </row>
    <row r="165" spans="1:11" x14ac:dyDescent="0.2">
      <c r="A165" s="52" t="s">
        <v>16</v>
      </c>
      <c r="B165" s="109"/>
      <c r="C165" s="204"/>
      <c r="D165" s="348"/>
      <c r="E165" s="204"/>
      <c r="F165" s="386"/>
      <c r="G165" s="261"/>
      <c r="H165" s="204"/>
      <c r="I165" s="204"/>
      <c r="J165" s="204"/>
      <c r="K165" s="162"/>
    </row>
    <row r="166" spans="1:11" x14ac:dyDescent="0.2">
      <c r="A166" s="54" t="s">
        <v>91</v>
      </c>
      <c r="B166" s="317"/>
      <c r="C166" s="204"/>
      <c r="D166" s="348"/>
      <c r="E166" s="204"/>
      <c r="F166" s="386"/>
      <c r="G166" s="261"/>
      <c r="H166" s="204"/>
      <c r="I166" s="204"/>
      <c r="J166" s="204"/>
      <c r="K166" s="162"/>
    </row>
    <row r="167" spans="1:11" s="27" customFormat="1" x14ac:dyDescent="0.2">
      <c r="A167" s="57" t="s">
        <v>243</v>
      </c>
      <c r="B167" s="318">
        <v>500</v>
      </c>
      <c r="C167" s="204">
        <v>800</v>
      </c>
      <c r="D167" s="348">
        <v>800</v>
      </c>
      <c r="E167" s="204">
        <v>0</v>
      </c>
      <c r="F167" s="354">
        <v>1200</v>
      </c>
      <c r="G167" s="261">
        <v>1200</v>
      </c>
      <c r="H167" s="204">
        <v>500</v>
      </c>
      <c r="I167" s="204">
        <v>1300</v>
      </c>
      <c r="J167" s="204"/>
      <c r="K167" s="162"/>
    </row>
    <row r="168" spans="1:11" s="27" customFormat="1" x14ac:dyDescent="0.2">
      <c r="A168" s="101" t="s">
        <v>244</v>
      </c>
      <c r="B168" s="326">
        <v>556.45000000000005</v>
      </c>
      <c r="C168" s="204">
        <v>1164</v>
      </c>
      <c r="D168" s="348">
        <v>1164</v>
      </c>
      <c r="E168" s="204">
        <v>1164</v>
      </c>
      <c r="F168" s="354">
        <v>1746</v>
      </c>
      <c r="G168" s="261">
        <v>1746</v>
      </c>
      <c r="H168" s="204">
        <v>489</v>
      </c>
      <c r="I168" s="204">
        <v>1653</v>
      </c>
      <c r="J168" s="204"/>
      <c r="K168" s="162"/>
    </row>
    <row r="169" spans="1:11" x14ac:dyDescent="0.2">
      <c r="A169" s="54" t="s">
        <v>92</v>
      </c>
      <c r="B169" s="327"/>
      <c r="C169" s="204"/>
      <c r="D169" s="348"/>
      <c r="E169" s="204"/>
      <c r="F169" s="354"/>
      <c r="G169" s="261"/>
      <c r="H169" s="204"/>
      <c r="I169" s="204"/>
      <c r="J169" s="204"/>
      <c r="K169" s="162"/>
    </row>
    <row r="170" spans="1:11" s="27" customFormat="1" ht="12" customHeight="1" x14ac:dyDescent="0.2">
      <c r="A170" s="57" t="s">
        <v>245</v>
      </c>
      <c r="B170" s="318">
        <v>5857.23</v>
      </c>
      <c r="C170" s="204">
        <v>6796</v>
      </c>
      <c r="D170" s="348">
        <v>6796</v>
      </c>
      <c r="E170" s="204">
        <v>6412.4</v>
      </c>
      <c r="F170" s="354">
        <v>6966</v>
      </c>
      <c r="G170" s="261">
        <v>6650</v>
      </c>
      <c r="H170" s="204">
        <v>4821.63</v>
      </c>
      <c r="I170" s="204">
        <v>6669</v>
      </c>
      <c r="J170" s="204"/>
      <c r="K170" s="162"/>
    </row>
    <row r="171" spans="1:11" s="27" customFormat="1" x14ac:dyDescent="0.2">
      <c r="A171" s="57" t="s">
        <v>246</v>
      </c>
      <c r="B171" s="318">
        <v>741.02</v>
      </c>
      <c r="C171" s="204">
        <v>1050</v>
      </c>
      <c r="D171" s="348">
        <v>1050</v>
      </c>
      <c r="E171" s="204">
        <v>1050</v>
      </c>
      <c r="F171" s="354">
        <v>1050</v>
      </c>
      <c r="G171" s="261">
        <v>1050</v>
      </c>
      <c r="H171" s="204">
        <f>506.69</f>
        <v>506.69</v>
      </c>
      <c r="I171" s="204">
        <v>881</v>
      </c>
      <c r="J171" s="204"/>
      <c r="K171" s="162"/>
    </row>
    <row r="172" spans="1:11" x14ac:dyDescent="0.2">
      <c r="A172" s="54" t="s">
        <v>93</v>
      </c>
      <c r="B172" s="318">
        <v>127.59</v>
      </c>
      <c r="C172" s="204">
        <v>150</v>
      </c>
      <c r="D172" s="348">
        <v>150</v>
      </c>
      <c r="E172" s="204">
        <v>150</v>
      </c>
      <c r="F172" s="354">
        <v>150</v>
      </c>
      <c r="G172" s="261">
        <v>150</v>
      </c>
      <c r="H172" s="204">
        <v>83.39</v>
      </c>
      <c r="I172" s="204">
        <f>H172</f>
        <v>83.39</v>
      </c>
      <c r="J172" s="204"/>
      <c r="K172" s="162"/>
    </row>
    <row r="173" spans="1:11" x14ac:dyDescent="0.2">
      <c r="A173" s="51" t="s">
        <v>17</v>
      </c>
      <c r="B173" s="325">
        <f t="shared" ref="B173:J173" si="15">SUM(B167:B172)</f>
        <v>7782.2899999999991</v>
      </c>
      <c r="C173" s="207">
        <f t="shared" si="15"/>
        <v>9960</v>
      </c>
      <c r="D173" s="351">
        <f t="shared" si="15"/>
        <v>9960</v>
      </c>
      <c r="E173" s="207">
        <f t="shared" si="15"/>
        <v>8776.4</v>
      </c>
      <c r="F173" s="355">
        <f t="shared" si="15"/>
        <v>11112</v>
      </c>
      <c r="G173" s="407">
        <f t="shared" si="15"/>
        <v>10796</v>
      </c>
      <c r="H173" s="207">
        <f t="shared" si="15"/>
        <v>6400.71</v>
      </c>
      <c r="I173" s="207">
        <v>10587</v>
      </c>
      <c r="J173" s="207">
        <f t="shared" si="15"/>
        <v>0</v>
      </c>
      <c r="K173" s="130">
        <f t="shared" ref="K173" si="16">SUM(K167:K172)</f>
        <v>0</v>
      </c>
    </row>
    <row r="174" spans="1:11" x14ac:dyDescent="0.2">
      <c r="A174" s="54"/>
      <c r="B174" s="109"/>
      <c r="C174" s="204"/>
      <c r="D174" s="348"/>
      <c r="E174" s="204"/>
      <c r="F174" s="386"/>
      <c r="G174" s="261"/>
      <c r="H174" s="204"/>
      <c r="I174" s="204"/>
      <c r="J174" s="204"/>
      <c r="K174" s="162"/>
    </row>
    <row r="175" spans="1:11" x14ac:dyDescent="0.2">
      <c r="A175" s="52" t="s">
        <v>18</v>
      </c>
      <c r="B175" s="109"/>
      <c r="C175" s="204"/>
      <c r="D175" s="348"/>
      <c r="E175" s="204"/>
      <c r="F175" s="386"/>
      <c r="G175" s="261"/>
      <c r="H175" s="204"/>
      <c r="I175" s="204"/>
      <c r="J175" s="204"/>
      <c r="K175" s="162"/>
    </row>
    <row r="176" spans="1:11" x14ac:dyDescent="0.2">
      <c r="A176" s="54" t="s">
        <v>94</v>
      </c>
      <c r="B176" s="317"/>
      <c r="C176" s="204"/>
      <c r="D176" s="348"/>
      <c r="E176" s="204"/>
      <c r="F176" s="386"/>
      <c r="G176" s="261"/>
      <c r="H176" s="204"/>
      <c r="I176" s="204"/>
      <c r="J176" s="204"/>
      <c r="K176" s="162"/>
    </row>
    <row r="177" spans="1:11" s="27" customFormat="1" x14ac:dyDescent="0.2">
      <c r="A177" s="57" t="s">
        <v>247</v>
      </c>
      <c r="B177" s="318">
        <v>3000</v>
      </c>
      <c r="C177" s="204">
        <v>6400</v>
      </c>
      <c r="D177" s="348">
        <v>6400</v>
      </c>
      <c r="E177" s="204">
        <v>3200</v>
      </c>
      <c r="F177" s="354">
        <v>6400</v>
      </c>
      <c r="G177" s="261">
        <v>6080</v>
      </c>
      <c r="H177" s="204">
        <v>1000</v>
      </c>
      <c r="I177" s="204">
        <v>7000</v>
      </c>
      <c r="J177" s="204"/>
      <c r="K177" s="162"/>
    </row>
    <row r="178" spans="1:11" s="27" customFormat="1" x14ac:dyDescent="0.2">
      <c r="A178" s="57" t="s">
        <v>248</v>
      </c>
      <c r="B178" s="318">
        <v>1192</v>
      </c>
      <c r="C178" s="204">
        <v>4280</v>
      </c>
      <c r="D178" s="348">
        <v>4280</v>
      </c>
      <c r="E178" s="204">
        <v>4280</v>
      </c>
      <c r="F178" s="354">
        <v>1342</v>
      </c>
      <c r="G178" s="261">
        <v>1342</v>
      </c>
      <c r="H178" s="204">
        <v>454</v>
      </c>
      <c r="I178" s="204">
        <v>1342</v>
      </c>
      <c r="J178" s="204"/>
      <c r="K178" s="162"/>
    </row>
    <row r="179" spans="1:11" x14ac:dyDescent="0.2">
      <c r="A179" s="54" t="s">
        <v>127</v>
      </c>
      <c r="B179" s="317"/>
      <c r="C179" s="204"/>
      <c r="D179" s="348"/>
      <c r="E179" s="204"/>
      <c r="F179" s="354"/>
      <c r="G179" s="261"/>
      <c r="H179" s="204"/>
      <c r="I179" s="204"/>
      <c r="J179" s="204"/>
      <c r="K179" s="162"/>
    </row>
    <row r="180" spans="1:11" s="27" customFormat="1" ht="13.5" customHeight="1" x14ac:dyDescent="0.2">
      <c r="A180" s="57" t="s">
        <v>249</v>
      </c>
      <c r="B180" s="318">
        <v>15543.87</v>
      </c>
      <c r="C180" s="204">
        <v>0</v>
      </c>
      <c r="D180" s="348">
        <v>0</v>
      </c>
      <c r="E180" s="204">
        <v>0</v>
      </c>
      <c r="F180" s="354">
        <v>17415</v>
      </c>
      <c r="G180" s="261">
        <v>16626</v>
      </c>
      <c r="H180" s="204">
        <f>7701.25-480</f>
        <v>7221.25</v>
      </c>
      <c r="I180" s="204">
        <v>16673</v>
      </c>
      <c r="J180" s="204"/>
      <c r="K180" s="162"/>
    </row>
    <row r="181" spans="1:11" s="27" customFormat="1" ht="13.5" customHeight="1" x14ac:dyDescent="0.2">
      <c r="A181" s="57" t="s">
        <v>250</v>
      </c>
      <c r="B181" s="318">
        <v>4304.99</v>
      </c>
      <c r="C181" s="204">
        <v>2620</v>
      </c>
      <c r="D181" s="348">
        <v>2620</v>
      </c>
      <c r="E181" s="204">
        <v>2620.4</v>
      </c>
      <c r="F181" s="354">
        <v>2620</v>
      </c>
      <c r="G181" s="261">
        <v>3400</v>
      </c>
      <c r="H181" s="204">
        <f>1664.2</f>
        <v>1664.2</v>
      </c>
      <c r="I181" s="204">
        <v>2614</v>
      </c>
      <c r="J181" s="204"/>
      <c r="K181" s="162"/>
    </row>
    <row r="182" spans="1:11" x14ac:dyDescent="0.2">
      <c r="A182" s="54" t="s">
        <v>417</v>
      </c>
      <c r="B182" s="318">
        <v>1234.24</v>
      </c>
      <c r="C182" s="204">
        <v>0</v>
      </c>
      <c r="D182" s="348">
        <v>0</v>
      </c>
      <c r="E182" s="204">
        <v>1000</v>
      </c>
      <c r="F182" s="354">
        <v>1500</v>
      </c>
      <c r="G182" s="261">
        <v>4000</v>
      </c>
      <c r="H182" s="204"/>
      <c r="I182" s="204">
        <v>3800</v>
      </c>
      <c r="J182" s="204"/>
      <c r="K182" s="162"/>
    </row>
    <row r="183" spans="1:11" x14ac:dyDescent="0.2">
      <c r="A183" s="51" t="s">
        <v>21</v>
      </c>
      <c r="B183" s="325">
        <f t="shared" ref="B183:J183" si="17">SUM(B177:B182)</f>
        <v>25275.100000000002</v>
      </c>
      <c r="C183" s="207">
        <f t="shared" si="17"/>
        <v>13300</v>
      </c>
      <c r="D183" s="351">
        <f t="shared" si="17"/>
        <v>13300</v>
      </c>
      <c r="E183" s="207">
        <f t="shared" si="17"/>
        <v>11100.4</v>
      </c>
      <c r="F183" s="355">
        <f t="shared" si="17"/>
        <v>29277</v>
      </c>
      <c r="G183" s="407">
        <f t="shared" si="17"/>
        <v>31448</v>
      </c>
      <c r="H183" s="207">
        <f t="shared" si="17"/>
        <v>10339.450000000001</v>
      </c>
      <c r="I183" s="207">
        <f t="shared" si="17"/>
        <v>31429</v>
      </c>
      <c r="J183" s="207">
        <f t="shared" si="17"/>
        <v>0</v>
      </c>
      <c r="K183" s="130">
        <f t="shared" ref="K183" si="18">SUM(K177:K182)</f>
        <v>0</v>
      </c>
    </row>
    <row r="184" spans="1:11" x14ac:dyDescent="0.2">
      <c r="A184" s="54"/>
      <c r="B184" s="323"/>
      <c r="C184" s="204"/>
      <c r="D184" s="348"/>
      <c r="E184" s="204"/>
      <c r="F184" s="386"/>
      <c r="G184" s="261"/>
      <c r="H184" s="204"/>
      <c r="I184" s="204"/>
      <c r="J184" s="204"/>
      <c r="K184" s="162"/>
    </row>
    <row r="185" spans="1:11" ht="12.75" customHeight="1" x14ac:dyDescent="0.2">
      <c r="A185" s="102" t="s">
        <v>23</v>
      </c>
      <c r="B185" s="109"/>
      <c r="C185" s="204"/>
      <c r="D185" s="348"/>
      <c r="E185" s="204"/>
      <c r="F185" s="386"/>
      <c r="G185" s="261"/>
      <c r="H185" s="204"/>
      <c r="I185" s="204"/>
      <c r="J185" s="204"/>
      <c r="K185" s="162"/>
    </row>
    <row r="186" spans="1:11" ht="13.5" customHeight="1" x14ac:dyDescent="0.2">
      <c r="A186" s="103" t="s">
        <v>140</v>
      </c>
      <c r="B186" s="109"/>
      <c r="C186" s="204"/>
      <c r="D186" s="348"/>
      <c r="E186" s="204"/>
      <c r="F186" s="386"/>
      <c r="G186" s="261"/>
      <c r="H186" s="204"/>
      <c r="I186" s="204"/>
      <c r="J186" s="204"/>
      <c r="K186" s="162"/>
    </row>
    <row r="187" spans="1:11" x14ac:dyDescent="0.2">
      <c r="A187" s="54" t="s">
        <v>251</v>
      </c>
      <c r="B187" s="318">
        <v>0</v>
      </c>
      <c r="C187" s="204"/>
      <c r="D187" s="348"/>
      <c r="E187" s="204"/>
      <c r="F187" s="386"/>
      <c r="G187" s="261"/>
      <c r="H187" s="204"/>
      <c r="I187" s="204"/>
      <c r="J187" s="204"/>
      <c r="K187" s="162"/>
    </row>
    <row r="188" spans="1:11" x14ac:dyDescent="0.2">
      <c r="A188" s="54" t="s">
        <v>252</v>
      </c>
      <c r="B188" s="317"/>
      <c r="C188" s="204"/>
      <c r="D188" s="348"/>
      <c r="E188" s="204"/>
      <c r="F188" s="386"/>
      <c r="G188" s="261"/>
      <c r="H188" s="204"/>
      <c r="I188" s="204"/>
      <c r="J188" s="204"/>
      <c r="K188" s="162"/>
    </row>
    <row r="189" spans="1:11" s="27" customFormat="1" x14ac:dyDescent="0.2">
      <c r="A189" s="57" t="s">
        <v>253</v>
      </c>
      <c r="B189" s="318">
        <v>17408.62</v>
      </c>
      <c r="C189" s="204">
        <v>9600</v>
      </c>
      <c r="D189" s="348">
        <v>9600</v>
      </c>
      <c r="E189" s="204">
        <v>9600</v>
      </c>
      <c r="F189" s="354">
        <v>14600</v>
      </c>
      <c r="G189" s="261">
        <v>14600</v>
      </c>
      <c r="H189" s="204">
        <v>2849</v>
      </c>
      <c r="I189" s="204">
        <v>10849</v>
      </c>
      <c r="J189" s="381">
        <v>1200</v>
      </c>
      <c r="K189" s="162"/>
    </row>
    <row r="190" spans="1:11" s="27" customFormat="1" x14ac:dyDescent="0.2">
      <c r="A190" s="57" t="s">
        <v>254</v>
      </c>
      <c r="B190" s="318">
        <v>5628.83</v>
      </c>
      <c r="C190" s="204">
        <v>9960</v>
      </c>
      <c r="D190" s="348">
        <v>9960</v>
      </c>
      <c r="E190" s="204">
        <v>9960</v>
      </c>
      <c r="F190" s="354">
        <v>8323</v>
      </c>
      <c r="G190" s="261">
        <v>8323</v>
      </c>
      <c r="H190" s="204">
        <v>2409</v>
      </c>
      <c r="I190" s="204">
        <v>8418</v>
      </c>
      <c r="J190" s="381">
        <v>595</v>
      </c>
      <c r="K190" s="162"/>
    </row>
    <row r="191" spans="1:11" x14ac:dyDescent="0.2">
      <c r="A191" s="54" t="s">
        <v>255</v>
      </c>
      <c r="B191" s="317"/>
      <c r="C191" s="204"/>
      <c r="D191" s="348"/>
      <c r="E191" s="204"/>
      <c r="F191" s="386"/>
      <c r="G191" s="261"/>
      <c r="H191" s="204"/>
      <c r="I191" s="204"/>
      <c r="J191" s="204"/>
      <c r="K191" s="162"/>
    </row>
    <row r="192" spans="1:11" s="27" customFormat="1" x14ac:dyDescent="0.2">
      <c r="A192" s="57" t="s">
        <v>256</v>
      </c>
      <c r="B192" s="318">
        <v>0</v>
      </c>
      <c r="C192" s="204">
        <v>0</v>
      </c>
      <c r="D192" s="348">
        <v>0</v>
      </c>
      <c r="E192" s="204">
        <v>0</v>
      </c>
      <c r="F192" s="386">
        <v>0</v>
      </c>
      <c r="G192" s="261">
        <v>0</v>
      </c>
      <c r="H192" s="204"/>
      <c r="I192" s="204">
        <f>G192</f>
        <v>0</v>
      </c>
      <c r="J192" s="275"/>
      <c r="K192" s="162"/>
    </row>
    <row r="193" spans="1:11" s="27" customFormat="1" x14ac:dyDescent="0.2">
      <c r="A193" s="57" t="s">
        <v>257</v>
      </c>
      <c r="B193" s="318">
        <v>27501.02</v>
      </c>
      <c r="C193" s="204">
        <v>0</v>
      </c>
      <c r="D193" s="348">
        <v>0</v>
      </c>
      <c r="E193" s="204">
        <v>0</v>
      </c>
      <c r="F193" s="386">
        <v>21000</v>
      </c>
      <c r="G193" s="261">
        <v>35175</v>
      </c>
      <c r="H193" s="204"/>
      <c r="I193" s="204">
        <v>0</v>
      </c>
      <c r="J193" s="381">
        <v>8050</v>
      </c>
      <c r="K193" s="162"/>
    </row>
    <row r="194" spans="1:11" s="27" customFormat="1" x14ac:dyDescent="0.2">
      <c r="A194" s="104" t="s">
        <v>258</v>
      </c>
      <c r="B194" s="273"/>
      <c r="C194" s="105"/>
      <c r="D194" s="105"/>
      <c r="E194" s="105"/>
      <c r="F194" s="105"/>
      <c r="G194" s="211"/>
      <c r="H194" s="105"/>
      <c r="I194" s="105"/>
      <c r="J194" s="105"/>
      <c r="K194" s="105"/>
    </row>
    <row r="195" spans="1:11" s="27" customFormat="1" x14ac:dyDescent="0.2">
      <c r="A195" s="106" t="s">
        <v>259</v>
      </c>
      <c r="B195" s="274"/>
      <c r="C195" s="105"/>
      <c r="D195" s="105"/>
      <c r="E195" s="105"/>
      <c r="F195" s="105"/>
      <c r="G195" s="211"/>
      <c r="H195" s="105"/>
      <c r="I195" s="105"/>
      <c r="J195" s="105"/>
      <c r="K195" s="105"/>
    </row>
    <row r="196" spans="1:11" s="27" customFormat="1" x14ac:dyDescent="0.2">
      <c r="A196" s="106" t="s">
        <v>162</v>
      </c>
      <c r="B196" s="274"/>
      <c r="C196" s="105"/>
      <c r="D196" s="105"/>
      <c r="E196" s="105"/>
      <c r="F196" s="105"/>
      <c r="G196" s="211"/>
      <c r="H196" s="105"/>
      <c r="I196" s="105"/>
      <c r="J196" s="105"/>
      <c r="K196" s="105"/>
    </row>
    <row r="197" spans="1:11" s="27" customFormat="1" x14ac:dyDescent="0.2">
      <c r="A197" s="104" t="s">
        <v>163</v>
      </c>
      <c r="B197" s="273"/>
      <c r="C197" s="105"/>
      <c r="D197" s="105"/>
      <c r="E197" s="105"/>
      <c r="F197" s="105"/>
      <c r="G197" s="211"/>
      <c r="H197" s="105"/>
      <c r="I197" s="105"/>
      <c r="J197" s="105"/>
      <c r="K197" s="105"/>
    </row>
    <row r="198" spans="1:11" s="27" customFormat="1" x14ac:dyDescent="0.2">
      <c r="A198" s="106" t="s">
        <v>260</v>
      </c>
      <c r="B198" s="274"/>
      <c r="C198" s="105"/>
      <c r="D198" s="105"/>
      <c r="E198" s="105"/>
      <c r="F198" s="105"/>
      <c r="G198" s="211"/>
      <c r="H198" s="105"/>
      <c r="I198" s="105"/>
      <c r="J198" s="105"/>
      <c r="K198" s="105"/>
    </row>
    <row r="199" spans="1:11" s="27" customFormat="1" x14ac:dyDescent="0.2">
      <c r="A199" s="106" t="s">
        <v>164</v>
      </c>
      <c r="B199" s="274"/>
      <c r="C199" s="105"/>
      <c r="D199" s="105"/>
      <c r="E199" s="105"/>
      <c r="F199" s="105"/>
      <c r="G199" s="211"/>
      <c r="H199" s="105"/>
      <c r="I199" s="105"/>
      <c r="J199" s="105"/>
      <c r="K199" s="105"/>
    </row>
    <row r="200" spans="1:11" x14ac:dyDescent="0.2">
      <c r="A200" s="103" t="s">
        <v>344</v>
      </c>
      <c r="B200" s="328"/>
      <c r="C200" s="204"/>
      <c r="D200" s="348"/>
      <c r="E200" s="204"/>
      <c r="F200" s="386"/>
      <c r="G200" s="261"/>
      <c r="H200" s="204"/>
      <c r="I200" s="204"/>
      <c r="J200" s="204"/>
      <c r="K200" s="162"/>
    </row>
    <row r="201" spans="1:11" ht="13.5" customHeight="1" x14ac:dyDescent="0.2">
      <c r="A201" s="54" t="s">
        <v>261</v>
      </c>
      <c r="B201" s="318">
        <v>0</v>
      </c>
      <c r="C201" s="204"/>
      <c r="D201" s="348"/>
      <c r="E201" s="204"/>
      <c r="F201" s="386"/>
      <c r="G201" s="261"/>
      <c r="H201" s="204"/>
      <c r="I201" s="204"/>
      <c r="J201" s="204"/>
      <c r="K201" s="162"/>
    </row>
    <row r="202" spans="1:11" ht="13.5" customHeight="1" x14ac:dyDescent="0.2">
      <c r="A202" s="54" t="s">
        <v>262</v>
      </c>
      <c r="B202" s="317"/>
      <c r="C202" s="204"/>
      <c r="D202" s="348"/>
      <c r="E202" s="204"/>
      <c r="F202" s="386"/>
      <c r="G202" s="261"/>
      <c r="H202" s="204"/>
      <c r="I202" s="204"/>
      <c r="J202" s="204"/>
      <c r="K202" s="162"/>
    </row>
    <row r="203" spans="1:11" s="27" customFormat="1" x14ac:dyDescent="0.2">
      <c r="A203" s="57" t="s">
        <v>263</v>
      </c>
      <c r="B203" s="318">
        <v>5854.6</v>
      </c>
      <c r="C203" s="204">
        <v>16800</v>
      </c>
      <c r="D203" s="348">
        <v>16800</v>
      </c>
      <c r="E203" s="204">
        <v>8800</v>
      </c>
      <c r="F203" s="386">
        <v>8400</v>
      </c>
      <c r="G203" s="261">
        <v>8400</v>
      </c>
      <c r="H203" s="204">
        <v>6285</v>
      </c>
      <c r="I203" s="204">
        <v>7285</v>
      </c>
      <c r="J203" s="381">
        <v>9600</v>
      </c>
      <c r="K203" s="162"/>
    </row>
    <row r="204" spans="1:11" s="27" customFormat="1" x14ac:dyDescent="0.2">
      <c r="A204" s="57" t="s">
        <v>264</v>
      </c>
      <c r="B204" s="318">
        <v>2271.12</v>
      </c>
      <c r="C204" s="204">
        <v>11620</v>
      </c>
      <c r="D204" s="348">
        <v>11620</v>
      </c>
      <c r="E204" s="204">
        <v>6640</v>
      </c>
      <c r="F204" s="386">
        <v>5180</v>
      </c>
      <c r="G204" s="261">
        <v>5180</v>
      </c>
      <c r="H204" s="204">
        <v>3458</v>
      </c>
      <c r="I204" s="204">
        <v>3458</v>
      </c>
      <c r="J204" s="381">
        <v>9680</v>
      </c>
      <c r="K204" s="162"/>
    </row>
    <row r="205" spans="1:11" s="28" customFormat="1" x14ac:dyDescent="0.2">
      <c r="A205" s="95" t="s">
        <v>138</v>
      </c>
      <c r="B205" s="321"/>
      <c r="C205" s="208"/>
      <c r="D205" s="352"/>
      <c r="E205" s="208"/>
      <c r="F205" s="387"/>
      <c r="G205" s="408"/>
      <c r="H205" s="208"/>
      <c r="I205" s="204"/>
      <c r="J205" s="204"/>
      <c r="K205" s="358"/>
    </row>
    <row r="206" spans="1:11" x14ac:dyDescent="0.2">
      <c r="A206" s="57" t="s">
        <v>265</v>
      </c>
      <c r="B206" s="318">
        <v>9555.51</v>
      </c>
      <c r="C206" s="204">
        <v>6796</v>
      </c>
      <c r="D206" s="348">
        <v>6796</v>
      </c>
      <c r="E206" s="204">
        <v>6412</v>
      </c>
      <c r="F206" s="354">
        <v>6966</v>
      </c>
      <c r="G206" s="261">
        <v>6650</v>
      </c>
      <c r="H206" s="204">
        <v>10233.26</v>
      </c>
      <c r="I206" s="204">
        <v>6669</v>
      </c>
      <c r="J206" s="204"/>
      <c r="K206" s="162"/>
    </row>
    <row r="207" spans="1:11" x14ac:dyDescent="0.2">
      <c r="A207" s="104" t="s">
        <v>165</v>
      </c>
      <c r="B207" s="42"/>
      <c r="C207" s="105"/>
      <c r="D207" s="105"/>
      <c r="E207" s="105"/>
      <c r="F207" s="105"/>
      <c r="G207" s="211"/>
      <c r="H207" s="105"/>
      <c r="I207" s="158"/>
      <c r="J207" s="158"/>
      <c r="K207" s="105"/>
    </row>
    <row r="208" spans="1:11" x14ac:dyDescent="0.2">
      <c r="A208" s="54" t="s">
        <v>371</v>
      </c>
      <c r="B208" s="109"/>
      <c r="C208" s="204">
        <v>0</v>
      </c>
      <c r="D208" s="348"/>
      <c r="E208" s="204">
        <v>0</v>
      </c>
      <c r="F208" s="386">
        <v>0</v>
      </c>
      <c r="G208" s="261">
        <v>0</v>
      </c>
      <c r="H208" s="204"/>
      <c r="I208" s="204">
        <f>G208</f>
        <v>0</v>
      </c>
      <c r="J208" s="204"/>
      <c r="K208" s="162"/>
    </row>
    <row r="209" spans="1:11" x14ac:dyDescent="0.2">
      <c r="A209" s="51" t="s">
        <v>24</v>
      </c>
      <c r="B209" s="325">
        <f t="shared" ref="B209:J209" si="19">SUM(B187:B208)</f>
        <v>68219.7</v>
      </c>
      <c r="C209" s="207">
        <f t="shared" si="19"/>
        <v>54776</v>
      </c>
      <c r="D209" s="351">
        <f t="shared" si="19"/>
        <v>54776</v>
      </c>
      <c r="E209" s="207">
        <f t="shared" si="19"/>
        <v>41412</v>
      </c>
      <c r="F209" s="355">
        <f t="shared" si="19"/>
        <v>64469</v>
      </c>
      <c r="G209" s="407">
        <f t="shared" si="19"/>
        <v>78328</v>
      </c>
      <c r="H209" s="207">
        <f t="shared" si="19"/>
        <v>25234.260000000002</v>
      </c>
      <c r="I209" s="207">
        <f t="shared" si="19"/>
        <v>36679</v>
      </c>
      <c r="J209" s="207">
        <f t="shared" si="19"/>
        <v>29125</v>
      </c>
      <c r="K209" s="130">
        <f t="shared" ref="K209" si="20">SUM(K187:K208)</f>
        <v>0</v>
      </c>
    </row>
    <row r="210" spans="1:11" x14ac:dyDescent="0.2">
      <c r="A210" s="54"/>
      <c r="B210" s="109"/>
      <c r="C210" s="204"/>
      <c r="D210" s="348"/>
      <c r="E210" s="204"/>
      <c r="F210" s="354"/>
      <c r="G210" s="261"/>
      <c r="H210" s="204"/>
      <c r="I210" s="204"/>
      <c r="J210" s="204"/>
      <c r="K210" s="162"/>
    </row>
    <row r="211" spans="1:11" ht="12.75" customHeight="1" x14ac:dyDescent="0.2">
      <c r="A211" s="52" t="s">
        <v>25</v>
      </c>
      <c r="B211" s="109"/>
      <c r="C211" s="204"/>
      <c r="D211" s="348"/>
      <c r="E211" s="204"/>
      <c r="F211" s="354"/>
      <c r="G211" s="261"/>
      <c r="H211" s="204"/>
      <c r="I211" s="204"/>
      <c r="J211" s="204"/>
      <c r="K211" s="162"/>
    </row>
    <row r="212" spans="1:11" x14ac:dyDescent="0.2">
      <c r="A212" s="107" t="s">
        <v>266</v>
      </c>
      <c r="B212" s="329"/>
      <c r="C212" s="204"/>
      <c r="D212" s="348"/>
      <c r="E212" s="204"/>
      <c r="F212" s="354"/>
      <c r="G212" s="261"/>
      <c r="H212" s="204"/>
      <c r="I212" s="204"/>
      <c r="J212" s="204"/>
      <c r="K212" s="162"/>
    </row>
    <row r="213" spans="1:11" s="27" customFormat="1" ht="13.5" customHeight="1" x14ac:dyDescent="0.2">
      <c r="A213" s="57" t="s">
        <v>267</v>
      </c>
      <c r="B213" s="318">
        <v>3069.28</v>
      </c>
      <c r="C213" s="204">
        <v>4800</v>
      </c>
      <c r="D213" s="348">
        <v>4800</v>
      </c>
      <c r="E213" s="204">
        <v>2400</v>
      </c>
      <c r="F213" s="354">
        <v>5300</v>
      </c>
      <c r="G213" s="261">
        <v>6100</v>
      </c>
      <c r="H213" s="204">
        <v>500</v>
      </c>
      <c r="I213" s="204">
        <v>6500</v>
      </c>
      <c r="J213" s="204"/>
      <c r="K213" s="162"/>
    </row>
    <row r="214" spans="1:11" s="27" customFormat="1" ht="13.5" customHeight="1" x14ac:dyDescent="0.2">
      <c r="A214" s="57" t="s">
        <v>268</v>
      </c>
      <c r="B214" s="318">
        <v>3104.35</v>
      </c>
      <c r="C214" s="204">
        <v>6520</v>
      </c>
      <c r="D214" s="348">
        <v>6520</v>
      </c>
      <c r="E214" s="204">
        <v>2328</v>
      </c>
      <c r="F214" s="354">
        <v>4420</v>
      </c>
      <c r="G214" s="261">
        <v>6920</v>
      </c>
      <c r="H214" s="204"/>
      <c r="I214" s="204">
        <v>9420</v>
      </c>
      <c r="J214" s="204"/>
      <c r="K214" s="162"/>
    </row>
    <row r="215" spans="1:11" s="27" customFormat="1" ht="13.5" customHeight="1" x14ac:dyDescent="0.2">
      <c r="A215" s="57" t="s">
        <v>269</v>
      </c>
      <c r="B215" s="318">
        <v>2027.43</v>
      </c>
      <c r="C215" s="204">
        <v>3000</v>
      </c>
      <c r="D215" s="348">
        <v>3000</v>
      </c>
      <c r="E215" s="204">
        <v>3000</v>
      </c>
      <c r="F215" s="354">
        <v>3500</v>
      </c>
      <c r="G215" s="261">
        <v>4000</v>
      </c>
      <c r="H215" s="204">
        <v>4499.38</v>
      </c>
      <c r="I215" s="204">
        <v>5349</v>
      </c>
      <c r="J215" s="204"/>
      <c r="K215" s="162"/>
    </row>
    <row r="216" spans="1:11" s="27" customFormat="1" ht="13.5" customHeight="1" x14ac:dyDescent="0.2">
      <c r="A216" s="106" t="s">
        <v>125</v>
      </c>
      <c r="B216" s="274"/>
      <c r="C216" s="105"/>
      <c r="D216" s="105"/>
      <c r="E216" s="105"/>
      <c r="F216" s="105"/>
      <c r="G216" s="261"/>
      <c r="H216" s="105"/>
      <c r="I216" s="105"/>
      <c r="J216" s="105"/>
      <c r="K216" s="105"/>
    </row>
    <row r="217" spans="1:11" s="27" customFormat="1" ht="13.5" customHeight="1" x14ac:dyDescent="0.2">
      <c r="A217" s="106" t="s">
        <v>166</v>
      </c>
      <c r="B217" s="274"/>
      <c r="C217" s="184"/>
      <c r="D217" s="184"/>
      <c r="E217" s="184"/>
      <c r="F217" s="184"/>
      <c r="G217" s="261"/>
      <c r="H217" s="184"/>
      <c r="I217" s="184"/>
      <c r="J217" s="184"/>
      <c r="K217" s="184"/>
    </row>
    <row r="218" spans="1:11" s="27" customFormat="1" ht="13.5" customHeight="1" x14ac:dyDescent="0.2">
      <c r="A218" s="106" t="s">
        <v>167</v>
      </c>
      <c r="B218" s="274"/>
      <c r="C218" s="184"/>
      <c r="D218" s="184"/>
      <c r="E218" s="184"/>
      <c r="F218" s="184"/>
      <c r="G218" s="261"/>
      <c r="H218" s="184"/>
      <c r="I218" s="184"/>
      <c r="J218" s="184"/>
      <c r="K218" s="184"/>
    </row>
    <row r="219" spans="1:11" x14ac:dyDescent="0.2">
      <c r="A219" s="95" t="s">
        <v>46</v>
      </c>
      <c r="B219" s="321"/>
      <c r="C219" s="204"/>
      <c r="D219" s="348"/>
      <c r="E219" s="204"/>
      <c r="F219" s="386"/>
      <c r="G219" s="261"/>
      <c r="H219" s="204"/>
      <c r="I219" s="204"/>
      <c r="J219" s="204"/>
      <c r="K219" s="162"/>
    </row>
    <row r="220" spans="1:11" s="27" customFormat="1" x14ac:dyDescent="0.2">
      <c r="A220" s="57" t="s">
        <v>270</v>
      </c>
      <c r="B220" s="318">
        <v>1500</v>
      </c>
      <c r="C220" s="204">
        <v>0</v>
      </c>
      <c r="D220" s="348">
        <v>0</v>
      </c>
      <c r="E220" s="204">
        <v>0</v>
      </c>
      <c r="F220" s="354">
        <v>0</v>
      </c>
      <c r="G220" s="261">
        <v>0</v>
      </c>
      <c r="H220" s="204"/>
      <c r="I220" s="204">
        <f>G220</f>
        <v>0</v>
      </c>
      <c r="J220" s="204"/>
      <c r="K220" s="162"/>
    </row>
    <row r="221" spans="1:11" s="27" customFormat="1" ht="14.25" customHeight="1" x14ac:dyDescent="0.2">
      <c r="A221" s="57" t="s">
        <v>271</v>
      </c>
      <c r="B221" s="318">
        <v>1302.93</v>
      </c>
      <c r="C221" s="204">
        <v>590</v>
      </c>
      <c r="D221" s="348">
        <v>590</v>
      </c>
      <c r="E221" s="204">
        <v>590</v>
      </c>
      <c r="F221" s="354">
        <v>590</v>
      </c>
      <c r="G221" s="261">
        <v>590</v>
      </c>
      <c r="H221" s="204"/>
      <c r="I221" s="204">
        <v>590</v>
      </c>
      <c r="J221" s="204"/>
      <c r="K221" s="162"/>
    </row>
    <row r="222" spans="1:11" s="24" customFormat="1" x14ac:dyDescent="0.2">
      <c r="A222" s="57" t="s">
        <v>272</v>
      </c>
      <c r="B222" s="318">
        <v>4679.88</v>
      </c>
      <c r="C222" s="204">
        <v>2000</v>
      </c>
      <c r="D222" s="348">
        <v>2000</v>
      </c>
      <c r="E222" s="204">
        <v>2000</v>
      </c>
      <c r="F222" s="354">
        <v>4000</v>
      </c>
      <c r="G222" s="261">
        <v>4000</v>
      </c>
      <c r="H222" s="204">
        <v>1436.95</v>
      </c>
      <c r="I222" s="204">
        <v>1737</v>
      </c>
      <c r="J222" s="204"/>
      <c r="K222" s="162"/>
    </row>
    <row r="223" spans="1:11" x14ac:dyDescent="0.2">
      <c r="A223" s="108" t="s">
        <v>47</v>
      </c>
      <c r="B223" s="330"/>
      <c r="C223" s="204"/>
      <c r="D223" s="348"/>
      <c r="E223" s="204"/>
      <c r="F223" s="354"/>
      <c r="G223" s="261"/>
      <c r="H223" s="204"/>
      <c r="I223" s="204">
        <v>0</v>
      </c>
      <c r="J223" s="204"/>
      <c r="K223" s="162"/>
    </row>
    <row r="224" spans="1:11" s="24" customFormat="1" x14ac:dyDescent="0.2">
      <c r="A224" s="57" t="s">
        <v>273</v>
      </c>
      <c r="B224" s="318">
        <v>0</v>
      </c>
      <c r="C224" s="204"/>
      <c r="D224" s="348"/>
      <c r="E224" s="204"/>
      <c r="F224" s="354"/>
      <c r="G224" s="261"/>
      <c r="H224" s="204"/>
      <c r="I224" s="204"/>
      <c r="J224" s="204"/>
      <c r="K224" s="162"/>
    </row>
    <row r="225" spans="1:11" s="24" customFormat="1" x14ac:dyDescent="0.2">
      <c r="A225" s="57" t="s">
        <v>274</v>
      </c>
      <c r="B225" s="318">
        <v>0</v>
      </c>
      <c r="C225" s="204"/>
      <c r="D225" s="348"/>
      <c r="E225" s="204"/>
      <c r="F225" s="354"/>
      <c r="G225" s="261"/>
      <c r="H225" s="204"/>
      <c r="I225" s="204"/>
      <c r="J225" s="204"/>
      <c r="K225" s="162"/>
    </row>
    <row r="226" spans="1:11" x14ac:dyDescent="0.2">
      <c r="A226" s="108" t="s">
        <v>26</v>
      </c>
      <c r="B226" s="330"/>
      <c r="C226" s="204"/>
      <c r="D226" s="348"/>
      <c r="E226" s="204"/>
      <c r="F226" s="354"/>
      <c r="G226" s="261"/>
      <c r="H226" s="204"/>
      <c r="I226" s="204"/>
      <c r="J226" s="204"/>
      <c r="K226" s="162"/>
    </row>
    <row r="227" spans="1:11" s="27" customFormat="1" x14ac:dyDescent="0.2">
      <c r="A227" s="57" t="s">
        <v>275</v>
      </c>
      <c r="B227" s="318">
        <v>4636.2299999999996</v>
      </c>
      <c r="C227" s="204">
        <v>2800</v>
      </c>
      <c r="D227" s="348">
        <v>2800</v>
      </c>
      <c r="E227" s="204">
        <v>0</v>
      </c>
      <c r="F227" s="354">
        <v>4400</v>
      </c>
      <c r="G227" s="261">
        <v>3600</v>
      </c>
      <c r="H227" s="204"/>
      <c r="I227" s="204">
        <v>3600</v>
      </c>
      <c r="J227" s="204"/>
      <c r="K227" s="162"/>
    </row>
    <row r="228" spans="1:11" s="27" customFormat="1" ht="12.75" customHeight="1" x14ac:dyDescent="0.2">
      <c r="A228" s="101" t="s">
        <v>276</v>
      </c>
      <c r="B228" s="326">
        <v>0</v>
      </c>
      <c r="C228" s="204">
        <v>0</v>
      </c>
      <c r="D228" s="348">
        <v>0</v>
      </c>
      <c r="E228" s="204">
        <v>0</v>
      </c>
      <c r="F228" s="354">
        <v>0</v>
      </c>
      <c r="G228" s="261">
        <v>0</v>
      </c>
      <c r="H228" s="204"/>
      <c r="I228" s="204"/>
      <c r="J228" s="204"/>
      <c r="K228" s="162"/>
    </row>
    <row r="229" spans="1:11" s="27" customFormat="1" ht="12.75" customHeight="1" x14ac:dyDescent="0.2">
      <c r="A229" s="57" t="s">
        <v>277</v>
      </c>
      <c r="B229" s="318">
        <v>12319.96</v>
      </c>
      <c r="C229" s="204"/>
      <c r="D229" s="348"/>
      <c r="E229" s="204"/>
      <c r="F229" s="354">
        <v>12300</v>
      </c>
      <c r="G229" s="261">
        <v>14000</v>
      </c>
      <c r="H229" s="204">
        <f>15317.8-3496.46-338</f>
        <v>11483.34</v>
      </c>
      <c r="I229" s="204">
        <v>13362</v>
      </c>
      <c r="J229" s="275"/>
      <c r="K229" s="162"/>
    </row>
    <row r="230" spans="1:11" ht="12.75" customHeight="1" x14ac:dyDescent="0.2">
      <c r="A230" s="95" t="s">
        <v>27</v>
      </c>
      <c r="B230" s="321"/>
      <c r="C230" s="204"/>
      <c r="D230" s="348"/>
      <c r="E230" s="204"/>
      <c r="F230" s="354"/>
      <c r="G230" s="261"/>
      <c r="H230" s="204"/>
      <c r="I230" s="204"/>
      <c r="J230" s="204"/>
      <c r="K230" s="162"/>
    </row>
    <row r="231" spans="1:11" s="27" customFormat="1" x14ac:dyDescent="0.2">
      <c r="A231" s="57" t="s">
        <v>278</v>
      </c>
      <c r="B231" s="318">
        <v>0</v>
      </c>
      <c r="C231" s="204">
        <v>0</v>
      </c>
      <c r="D231" s="348">
        <v>0</v>
      </c>
      <c r="E231" s="204">
        <v>0</v>
      </c>
      <c r="F231" s="354">
        <v>0</v>
      </c>
      <c r="G231" s="261">
        <v>0</v>
      </c>
      <c r="H231" s="204"/>
      <c r="I231" s="204"/>
      <c r="J231" s="204"/>
      <c r="K231" s="162"/>
    </row>
    <row r="232" spans="1:11" s="27" customFormat="1" x14ac:dyDescent="0.2">
      <c r="A232" s="101" t="s">
        <v>279</v>
      </c>
      <c r="B232" s="326">
        <v>0</v>
      </c>
      <c r="C232" s="204">
        <v>4160</v>
      </c>
      <c r="D232" s="348">
        <v>4160</v>
      </c>
      <c r="E232" s="204">
        <v>4160</v>
      </c>
      <c r="F232" s="354">
        <v>4160</v>
      </c>
      <c r="G232" s="261">
        <v>0</v>
      </c>
      <c r="H232" s="204"/>
      <c r="I232" s="204">
        <v>0</v>
      </c>
      <c r="J232" s="204"/>
      <c r="K232" s="162"/>
    </row>
    <row r="233" spans="1:11" x14ac:dyDescent="0.2">
      <c r="A233" s="95" t="s">
        <v>28</v>
      </c>
      <c r="B233" s="321"/>
      <c r="C233" s="204"/>
      <c r="D233" s="348"/>
      <c r="E233" s="204"/>
      <c r="F233" s="354"/>
      <c r="G233" s="261"/>
      <c r="H233" s="204"/>
      <c r="I233" s="204"/>
      <c r="J233" s="204"/>
      <c r="K233" s="162"/>
    </row>
    <row r="234" spans="1:11" s="27" customFormat="1" x14ac:dyDescent="0.2">
      <c r="A234" s="57" t="s">
        <v>280</v>
      </c>
      <c r="B234" s="318">
        <v>0</v>
      </c>
      <c r="C234" s="204"/>
      <c r="D234" s="348"/>
      <c r="E234" s="204"/>
      <c r="F234" s="354"/>
      <c r="G234" s="261"/>
      <c r="H234" s="204"/>
      <c r="I234" s="204"/>
      <c r="J234" s="204"/>
      <c r="K234" s="162"/>
    </row>
    <row r="235" spans="1:11" s="27" customFormat="1" ht="13.5" customHeight="1" x14ac:dyDescent="0.2">
      <c r="A235" s="57" t="s">
        <v>281</v>
      </c>
      <c r="B235" s="318">
        <v>0</v>
      </c>
      <c r="C235" s="204"/>
      <c r="D235" s="348"/>
      <c r="E235" s="204"/>
      <c r="F235" s="354"/>
      <c r="G235" s="261"/>
      <c r="H235" s="204"/>
      <c r="I235" s="204"/>
      <c r="J235" s="204"/>
      <c r="K235" s="162"/>
    </row>
    <row r="236" spans="1:11" ht="12.75" customHeight="1" x14ac:dyDescent="0.2">
      <c r="A236" s="95" t="s">
        <v>29</v>
      </c>
      <c r="B236" s="321"/>
      <c r="C236" s="204"/>
      <c r="D236" s="348"/>
      <c r="E236" s="204"/>
      <c r="F236" s="354"/>
      <c r="G236" s="261"/>
      <c r="H236" s="204"/>
      <c r="I236" s="204"/>
      <c r="J236" s="204"/>
      <c r="K236" s="162"/>
    </row>
    <row r="237" spans="1:11" s="27" customFormat="1" x14ac:dyDescent="0.2">
      <c r="A237" s="57" t="s">
        <v>282</v>
      </c>
      <c r="B237" s="318">
        <v>19814.37</v>
      </c>
      <c r="C237" s="204">
        <v>6795.6</v>
      </c>
      <c r="D237" s="348">
        <v>6796</v>
      </c>
      <c r="E237" s="204">
        <v>6412.4</v>
      </c>
      <c r="F237" s="354">
        <v>6966</v>
      </c>
      <c r="G237" s="261">
        <v>6650</v>
      </c>
      <c r="H237" s="204">
        <v>20898.13</v>
      </c>
      <c r="I237" s="204">
        <v>6669</v>
      </c>
      <c r="J237" s="204"/>
      <c r="K237" s="162"/>
    </row>
    <row r="238" spans="1:11" s="27" customFormat="1" x14ac:dyDescent="0.2">
      <c r="A238" s="57" t="s">
        <v>370</v>
      </c>
      <c r="B238" s="318">
        <v>0</v>
      </c>
      <c r="C238" s="204">
        <v>0</v>
      </c>
      <c r="D238" s="348">
        <v>0</v>
      </c>
      <c r="E238" s="204">
        <v>0</v>
      </c>
      <c r="F238" s="354">
        <v>0</v>
      </c>
      <c r="G238" s="261">
        <v>0</v>
      </c>
      <c r="H238" s="204"/>
      <c r="I238" s="204">
        <v>0</v>
      </c>
      <c r="J238" s="204"/>
      <c r="K238" s="162"/>
    </row>
    <row r="239" spans="1:11" x14ac:dyDescent="0.2">
      <c r="A239" s="54" t="s">
        <v>37</v>
      </c>
      <c r="B239" s="331">
        <v>0</v>
      </c>
      <c r="C239" s="204">
        <v>0</v>
      </c>
      <c r="D239" s="348">
        <v>0</v>
      </c>
      <c r="E239" s="204">
        <v>0</v>
      </c>
      <c r="F239" s="354">
        <v>0</v>
      </c>
      <c r="G239" s="261">
        <v>0</v>
      </c>
      <c r="H239" s="204"/>
      <c r="I239" s="204">
        <f>G239</f>
        <v>0</v>
      </c>
      <c r="J239" s="204"/>
      <c r="K239" s="162"/>
    </row>
    <row r="240" spans="1:11" x14ac:dyDescent="0.2">
      <c r="A240" s="51" t="s">
        <v>30</v>
      </c>
      <c r="B240" s="325">
        <f t="shared" ref="B240:J240" si="21">SUM(B213:B239)</f>
        <v>52454.429999999993</v>
      </c>
      <c r="C240" s="207">
        <f t="shared" si="21"/>
        <v>30665.599999999999</v>
      </c>
      <c r="D240" s="351">
        <f t="shared" si="21"/>
        <v>30666</v>
      </c>
      <c r="E240" s="207">
        <f t="shared" si="21"/>
        <v>20890.400000000001</v>
      </c>
      <c r="F240" s="355">
        <f t="shared" si="21"/>
        <v>45636</v>
      </c>
      <c r="G240" s="407">
        <f t="shared" si="21"/>
        <v>45860</v>
      </c>
      <c r="H240" s="207">
        <f t="shared" si="21"/>
        <v>38817.800000000003</v>
      </c>
      <c r="I240" s="207">
        <f t="shared" si="21"/>
        <v>47227</v>
      </c>
      <c r="J240" s="207">
        <f t="shared" si="21"/>
        <v>0</v>
      </c>
      <c r="K240" s="130">
        <f t="shared" ref="K240" si="22">SUM(K213:K239)</f>
        <v>0</v>
      </c>
    </row>
    <row r="241" spans="1:11" x14ac:dyDescent="0.2">
      <c r="A241" s="54"/>
      <c r="B241" s="109"/>
      <c r="C241" s="204"/>
      <c r="D241" s="348"/>
      <c r="E241" s="204"/>
      <c r="F241" s="386"/>
      <c r="G241" s="261"/>
      <c r="H241" s="204"/>
      <c r="I241" s="204"/>
      <c r="J241" s="204"/>
      <c r="K241" s="162"/>
    </row>
    <row r="242" spans="1:11" ht="15" customHeight="1" x14ac:dyDescent="0.2">
      <c r="A242" s="52" t="s">
        <v>31</v>
      </c>
      <c r="B242" s="109"/>
      <c r="C242" s="204"/>
      <c r="D242" s="348"/>
      <c r="E242" s="204"/>
      <c r="F242" s="386"/>
      <c r="G242" s="261"/>
      <c r="H242" s="204"/>
      <c r="I242" s="204"/>
      <c r="J242" s="204"/>
      <c r="K242" s="162"/>
    </row>
    <row r="243" spans="1:11" x14ac:dyDescent="0.2">
      <c r="A243" s="54" t="s">
        <v>95</v>
      </c>
      <c r="B243" s="327"/>
      <c r="C243" s="204"/>
      <c r="D243" s="348"/>
      <c r="E243" s="204"/>
      <c r="F243" s="354"/>
      <c r="G243" s="261"/>
      <c r="H243" s="204"/>
      <c r="I243" s="204"/>
      <c r="J243" s="204"/>
      <c r="K243" s="162"/>
    </row>
    <row r="244" spans="1:11" s="27" customFormat="1" ht="12.75" customHeight="1" x14ac:dyDescent="0.2">
      <c r="A244" s="57" t="s">
        <v>283</v>
      </c>
      <c r="B244" s="318">
        <v>0</v>
      </c>
      <c r="C244" s="204">
        <v>0</v>
      </c>
      <c r="D244" s="348">
        <v>0</v>
      </c>
      <c r="E244" s="204">
        <v>0</v>
      </c>
      <c r="F244" s="354">
        <v>0</v>
      </c>
      <c r="G244" s="261">
        <v>0</v>
      </c>
      <c r="H244" s="204"/>
      <c r="I244" s="204">
        <v>0</v>
      </c>
      <c r="J244" s="204"/>
      <c r="K244" s="162"/>
    </row>
    <row r="245" spans="1:11" s="27" customFormat="1" x14ac:dyDescent="0.2">
      <c r="A245" s="57" t="s">
        <v>284</v>
      </c>
      <c r="B245" s="318">
        <v>0</v>
      </c>
      <c r="C245" s="204">
        <v>0</v>
      </c>
      <c r="D245" s="348">
        <v>0</v>
      </c>
      <c r="E245" s="204">
        <v>0</v>
      </c>
      <c r="F245" s="354">
        <v>0</v>
      </c>
      <c r="G245" s="261">
        <v>0</v>
      </c>
      <c r="H245" s="204"/>
      <c r="I245" s="204">
        <v>0</v>
      </c>
      <c r="J245" s="204"/>
      <c r="K245" s="162"/>
    </row>
    <row r="246" spans="1:11" s="27" customFormat="1" x14ac:dyDescent="0.2">
      <c r="A246" s="54" t="s">
        <v>97</v>
      </c>
      <c r="B246" s="317"/>
      <c r="C246" s="204"/>
      <c r="D246" s="348"/>
      <c r="E246" s="204"/>
      <c r="F246" s="354"/>
      <c r="G246" s="261"/>
      <c r="H246" s="204"/>
      <c r="I246" s="204"/>
      <c r="J246" s="204"/>
      <c r="K246" s="162"/>
    </row>
    <row r="247" spans="1:11" s="27" customFormat="1" x14ac:dyDescent="0.2">
      <c r="A247" s="57" t="s">
        <v>285</v>
      </c>
      <c r="B247" s="318">
        <v>0</v>
      </c>
      <c r="C247" s="204">
        <v>0</v>
      </c>
      <c r="D247" s="348">
        <v>0</v>
      </c>
      <c r="E247" s="204">
        <v>0</v>
      </c>
      <c r="F247" s="354">
        <v>0</v>
      </c>
      <c r="G247" s="261">
        <v>0</v>
      </c>
      <c r="H247" s="204"/>
      <c r="I247" s="204">
        <v>0</v>
      </c>
      <c r="J247" s="204"/>
      <c r="K247" s="162"/>
    </row>
    <row r="248" spans="1:11" s="27" customFormat="1" x14ac:dyDescent="0.2">
      <c r="A248" s="57" t="s">
        <v>286</v>
      </c>
      <c r="B248" s="318">
        <v>0</v>
      </c>
      <c r="C248" s="204">
        <v>0</v>
      </c>
      <c r="D248" s="348">
        <v>0</v>
      </c>
      <c r="E248" s="204">
        <v>0</v>
      </c>
      <c r="F248" s="354">
        <v>0</v>
      </c>
      <c r="G248" s="261">
        <v>0</v>
      </c>
      <c r="H248" s="204"/>
      <c r="I248" s="204">
        <v>0</v>
      </c>
      <c r="J248" s="204"/>
      <c r="K248" s="162"/>
    </row>
    <row r="249" spans="1:11" s="27" customFormat="1" x14ac:dyDescent="0.2">
      <c r="A249" s="91" t="s">
        <v>96</v>
      </c>
      <c r="B249" s="317"/>
      <c r="C249" s="204"/>
      <c r="D249" s="348"/>
      <c r="E249" s="204"/>
      <c r="F249" s="354"/>
      <c r="G249" s="261"/>
      <c r="H249" s="204"/>
      <c r="I249" s="204"/>
      <c r="J249" s="204"/>
      <c r="K249" s="162"/>
    </row>
    <row r="250" spans="1:11" s="27" customFormat="1" ht="13.5" customHeight="1" x14ac:dyDescent="0.2">
      <c r="A250" s="58" t="s">
        <v>287</v>
      </c>
      <c r="B250" s="318">
        <v>1950.4</v>
      </c>
      <c r="C250" s="204">
        <v>2000</v>
      </c>
      <c r="D250" s="348">
        <v>2000</v>
      </c>
      <c r="E250" s="204">
        <v>2000</v>
      </c>
      <c r="F250" s="354">
        <v>1200</v>
      </c>
      <c r="G250" s="261">
        <v>1200</v>
      </c>
      <c r="H250" s="204"/>
      <c r="I250" s="204">
        <v>1200</v>
      </c>
      <c r="J250" s="204"/>
      <c r="K250" s="162"/>
    </row>
    <row r="251" spans="1:11" s="27" customFormat="1" x14ac:dyDescent="0.2">
      <c r="A251" s="57" t="s">
        <v>288</v>
      </c>
      <c r="B251" s="318">
        <v>715.5</v>
      </c>
      <c r="C251" s="204">
        <v>595</v>
      </c>
      <c r="D251" s="348">
        <v>595</v>
      </c>
      <c r="E251" s="204">
        <v>595</v>
      </c>
      <c r="F251" s="354">
        <v>595</v>
      </c>
      <c r="G251" s="261">
        <v>595</v>
      </c>
      <c r="H251" s="204"/>
      <c r="I251" s="204">
        <v>595</v>
      </c>
      <c r="J251" s="204"/>
      <c r="K251" s="162"/>
    </row>
    <row r="252" spans="1:11" x14ac:dyDescent="0.2">
      <c r="A252" s="54" t="s">
        <v>289</v>
      </c>
      <c r="B252" s="317"/>
      <c r="C252" s="204"/>
      <c r="D252" s="348"/>
      <c r="E252" s="204"/>
      <c r="F252" s="354"/>
      <c r="G252" s="261"/>
      <c r="H252" s="204"/>
      <c r="I252" s="204"/>
      <c r="J252" s="204"/>
      <c r="K252" s="162"/>
    </row>
    <row r="253" spans="1:11" s="27" customFormat="1" x14ac:dyDescent="0.2">
      <c r="A253" s="57" t="s">
        <v>290</v>
      </c>
      <c r="B253" s="318">
        <v>13974.53</v>
      </c>
      <c r="C253" s="204">
        <v>27182</v>
      </c>
      <c r="D253" s="348">
        <v>27182</v>
      </c>
      <c r="E253" s="204">
        <v>25649</v>
      </c>
      <c r="F253" s="354">
        <v>27864</v>
      </c>
      <c r="G253" s="261">
        <v>26602</v>
      </c>
      <c r="H253" s="204">
        <v>12304.1</v>
      </c>
      <c r="I253" s="204">
        <v>26677</v>
      </c>
      <c r="J253" s="204"/>
      <c r="K253" s="162"/>
    </row>
    <row r="254" spans="1:11" x14ac:dyDescent="0.2">
      <c r="A254" s="57" t="s">
        <v>291</v>
      </c>
      <c r="B254" s="318">
        <v>296.61</v>
      </c>
      <c r="C254" s="204"/>
      <c r="D254" s="348"/>
      <c r="E254" s="204"/>
      <c r="F254" s="354"/>
      <c r="G254" s="261"/>
      <c r="H254" s="204"/>
      <c r="I254" s="204"/>
      <c r="J254" s="204"/>
      <c r="K254" s="162"/>
    </row>
    <row r="255" spans="1:11" x14ac:dyDescent="0.2">
      <c r="A255" s="54" t="s">
        <v>292</v>
      </c>
      <c r="B255" s="318">
        <v>0</v>
      </c>
      <c r="C255" s="204"/>
      <c r="D255" s="348"/>
      <c r="E255" s="204"/>
      <c r="F255" s="354"/>
      <c r="G255" s="261"/>
      <c r="H255" s="204"/>
      <c r="I255" s="204"/>
      <c r="J255" s="204"/>
      <c r="K255" s="162"/>
    </row>
    <row r="256" spans="1:11" x14ac:dyDescent="0.2">
      <c r="A256" s="51" t="s">
        <v>114</v>
      </c>
      <c r="B256" s="325">
        <f t="shared" ref="B256:J256" si="23">SUM(B244:B255)</f>
        <v>16937.04</v>
      </c>
      <c r="C256" s="207">
        <f t="shared" si="23"/>
        <v>29777</v>
      </c>
      <c r="D256" s="351">
        <f t="shared" si="23"/>
        <v>29777</v>
      </c>
      <c r="E256" s="207">
        <f t="shared" si="23"/>
        <v>28244</v>
      </c>
      <c r="F256" s="355">
        <f t="shared" si="23"/>
        <v>29659</v>
      </c>
      <c r="G256" s="407">
        <f t="shared" si="23"/>
        <v>28397</v>
      </c>
      <c r="H256" s="207">
        <f t="shared" si="23"/>
        <v>12304.1</v>
      </c>
      <c r="I256" s="207">
        <f t="shared" si="23"/>
        <v>28472</v>
      </c>
      <c r="J256" s="207">
        <f t="shared" si="23"/>
        <v>0</v>
      </c>
      <c r="K256" s="130">
        <f t="shared" ref="K256" si="24">SUM(K244:K255)</f>
        <v>0</v>
      </c>
    </row>
    <row r="257" spans="1:11" x14ac:dyDescent="0.2">
      <c r="A257" s="54"/>
      <c r="B257" s="109"/>
      <c r="C257" s="204"/>
      <c r="D257" s="348"/>
      <c r="E257" s="204"/>
      <c r="F257" s="386"/>
      <c r="G257" s="261"/>
      <c r="H257" s="204"/>
      <c r="I257" s="204"/>
      <c r="J257" s="204"/>
      <c r="K257" s="162"/>
    </row>
    <row r="258" spans="1:11" x14ac:dyDescent="0.2">
      <c r="A258" s="52" t="s">
        <v>32</v>
      </c>
      <c r="B258" s="109"/>
      <c r="C258" s="204"/>
      <c r="D258" s="348"/>
      <c r="E258" s="204"/>
      <c r="F258" s="386"/>
      <c r="G258" s="261"/>
      <c r="H258" s="204"/>
      <c r="I258" s="204"/>
      <c r="J258" s="204"/>
      <c r="K258" s="162"/>
    </row>
    <row r="259" spans="1:11" x14ac:dyDescent="0.2">
      <c r="A259" s="54" t="s">
        <v>76</v>
      </c>
      <c r="B259" s="332">
        <v>7979.26</v>
      </c>
      <c r="C259" s="204">
        <v>10000</v>
      </c>
      <c r="D259" s="348">
        <v>10000</v>
      </c>
      <c r="E259" s="204">
        <v>10000</v>
      </c>
      <c r="F259" s="354">
        <v>8320</v>
      </c>
      <c r="G259" s="261">
        <v>8320</v>
      </c>
      <c r="H259" s="204">
        <v>7476.96</v>
      </c>
      <c r="I259" s="204">
        <v>8320</v>
      </c>
      <c r="J259" s="204"/>
      <c r="K259" s="162"/>
    </row>
    <row r="260" spans="1:11" x14ac:dyDescent="0.2">
      <c r="A260" s="54" t="s">
        <v>48</v>
      </c>
      <c r="B260" s="332">
        <v>5100</v>
      </c>
      <c r="C260" s="204">
        <v>30000</v>
      </c>
      <c r="D260" s="348">
        <v>30000</v>
      </c>
      <c r="E260" s="204">
        <v>30000</v>
      </c>
      <c r="F260" s="354">
        <v>32952</v>
      </c>
      <c r="G260" s="261">
        <v>32952</v>
      </c>
      <c r="H260" s="204">
        <v>11271.22</v>
      </c>
      <c r="I260" s="204">
        <v>32952</v>
      </c>
      <c r="J260" s="204"/>
      <c r="K260" s="162"/>
    </row>
    <row r="261" spans="1:11" x14ac:dyDescent="0.2">
      <c r="A261" s="54" t="s">
        <v>49</v>
      </c>
      <c r="B261" s="332">
        <v>0</v>
      </c>
      <c r="C261" s="204"/>
      <c r="D261" s="348"/>
      <c r="E261" s="204"/>
      <c r="F261" s="354">
        <v>0</v>
      </c>
      <c r="G261" s="261">
        <v>0</v>
      </c>
      <c r="H261" s="204"/>
      <c r="I261" s="204">
        <v>0</v>
      </c>
      <c r="J261" s="204"/>
      <c r="K261" s="162"/>
    </row>
    <row r="262" spans="1:11" x14ac:dyDescent="0.2">
      <c r="A262" s="54" t="s">
        <v>53</v>
      </c>
      <c r="B262" s="332">
        <v>4753</v>
      </c>
      <c r="C262" s="204">
        <v>15000</v>
      </c>
      <c r="D262" s="348">
        <v>15000</v>
      </c>
      <c r="E262" s="204">
        <v>4500</v>
      </c>
      <c r="F262" s="354">
        <v>14000</v>
      </c>
      <c r="G262" s="261">
        <v>14000</v>
      </c>
      <c r="H262" s="204">
        <v>2276.25</v>
      </c>
      <c r="I262" s="204">
        <v>2836</v>
      </c>
      <c r="J262" s="275"/>
      <c r="K262" s="162"/>
    </row>
    <row r="263" spans="1:11" x14ac:dyDescent="0.2">
      <c r="A263" s="54" t="s">
        <v>50</v>
      </c>
      <c r="B263" s="332">
        <v>67187.05</v>
      </c>
      <c r="C263" s="204">
        <v>40774</v>
      </c>
      <c r="D263" s="348">
        <v>40774</v>
      </c>
      <c r="E263" s="204">
        <v>38474</v>
      </c>
      <c r="F263" s="354">
        <v>41796</v>
      </c>
      <c r="G263" s="261">
        <v>39902</v>
      </c>
      <c r="H263" s="204">
        <v>59098.45</v>
      </c>
      <c r="I263" s="204">
        <v>40015</v>
      </c>
      <c r="J263" s="204"/>
      <c r="K263" s="162"/>
    </row>
    <row r="264" spans="1:11" x14ac:dyDescent="0.2">
      <c r="A264" s="54" t="s">
        <v>51</v>
      </c>
      <c r="B264" s="332">
        <v>1992.51</v>
      </c>
      <c r="C264" s="204">
        <v>2250</v>
      </c>
      <c r="D264" s="348">
        <v>2250</v>
      </c>
      <c r="E264" s="204">
        <v>2250</v>
      </c>
      <c r="F264" s="354">
        <v>2250</v>
      </c>
      <c r="G264" s="261">
        <v>2250</v>
      </c>
      <c r="H264" s="204">
        <v>4822.43</v>
      </c>
      <c r="I264" s="204">
        <v>13654</v>
      </c>
      <c r="J264" s="204"/>
      <c r="K264" s="162"/>
    </row>
    <row r="265" spans="1:11" x14ac:dyDescent="0.2">
      <c r="A265" s="54" t="s">
        <v>128</v>
      </c>
      <c r="B265" s="332">
        <v>112400.44</v>
      </c>
      <c r="C265" s="204">
        <v>75000</v>
      </c>
      <c r="D265" s="348">
        <v>75000</v>
      </c>
      <c r="E265" s="204">
        <v>75000</v>
      </c>
      <c r="F265" s="354">
        <v>75000</v>
      </c>
      <c r="G265" s="261">
        <v>75000</v>
      </c>
      <c r="H265" s="204">
        <v>74607.38</v>
      </c>
      <c r="I265" s="204">
        <v>75661</v>
      </c>
      <c r="J265" s="204"/>
      <c r="K265" s="162"/>
    </row>
    <row r="266" spans="1:11" x14ac:dyDescent="0.2">
      <c r="A266" s="51" t="s">
        <v>33</v>
      </c>
      <c r="B266" s="325">
        <f t="shared" ref="B266:J266" si="25">SUM(B259:B265)</f>
        <v>199412.26</v>
      </c>
      <c r="C266" s="207">
        <f t="shared" si="25"/>
        <v>173024</v>
      </c>
      <c r="D266" s="351">
        <f t="shared" si="25"/>
        <v>173024</v>
      </c>
      <c r="E266" s="207">
        <f t="shared" si="25"/>
        <v>160224</v>
      </c>
      <c r="F266" s="355">
        <f t="shared" si="25"/>
        <v>174318</v>
      </c>
      <c r="G266" s="407">
        <f t="shared" si="25"/>
        <v>172424</v>
      </c>
      <c r="H266" s="207">
        <f t="shared" si="25"/>
        <v>159552.69</v>
      </c>
      <c r="I266" s="207">
        <f t="shared" si="25"/>
        <v>173438</v>
      </c>
      <c r="J266" s="207">
        <f t="shared" si="25"/>
        <v>0</v>
      </c>
      <c r="K266" s="130">
        <f t="shared" ref="K266" si="26">SUM(K259:K265)</f>
        <v>0</v>
      </c>
    </row>
    <row r="267" spans="1:11" x14ac:dyDescent="0.2">
      <c r="A267" s="54"/>
      <c r="B267" s="323"/>
      <c r="C267" s="204"/>
      <c r="D267" s="348"/>
      <c r="E267" s="204"/>
      <c r="F267" s="386"/>
      <c r="G267" s="261"/>
      <c r="H267" s="204"/>
      <c r="I267" s="204"/>
      <c r="J267" s="204"/>
      <c r="K267" s="162"/>
    </row>
    <row r="268" spans="1:11" ht="13.5" customHeight="1" x14ac:dyDescent="0.2">
      <c r="A268" s="52" t="s">
        <v>54</v>
      </c>
      <c r="B268" s="109"/>
      <c r="C268" s="204"/>
      <c r="D268" s="348"/>
      <c r="E268" s="204"/>
      <c r="F268" s="386"/>
      <c r="G268" s="261"/>
      <c r="H268" s="204"/>
      <c r="I268" s="204"/>
      <c r="J268" s="204"/>
      <c r="K268" s="162"/>
    </row>
    <row r="269" spans="1:11" x14ac:dyDescent="0.2">
      <c r="A269" s="110" t="s">
        <v>34</v>
      </c>
      <c r="B269" s="332">
        <v>15901.2</v>
      </c>
      <c r="C269" s="204">
        <v>25966</v>
      </c>
      <c r="D269" s="348">
        <v>25966</v>
      </c>
      <c r="E269" s="204">
        <v>22375.4</v>
      </c>
      <c r="F269" s="354">
        <v>14000</v>
      </c>
      <c r="G269" s="261">
        <v>14000</v>
      </c>
      <c r="H269" s="204">
        <v>3504.2</v>
      </c>
      <c r="I269" s="204">
        <v>14000</v>
      </c>
      <c r="J269" s="204"/>
      <c r="K269" s="162"/>
    </row>
    <row r="270" spans="1:11" x14ac:dyDescent="0.2">
      <c r="A270" s="54" t="s">
        <v>35</v>
      </c>
      <c r="B270" s="332">
        <v>16647.64</v>
      </c>
      <c r="C270" s="204">
        <v>13100</v>
      </c>
      <c r="D270" s="348">
        <v>13100</v>
      </c>
      <c r="E270" s="204">
        <v>15840</v>
      </c>
      <c r="F270" s="354">
        <v>14000</v>
      </c>
      <c r="G270" s="261">
        <v>14000</v>
      </c>
      <c r="H270" s="204">
        <v>242.29</v>
      </c>
      <c r="I270" s="204">
        <v>14000</v>
      </c>
      <c r="J270" s="204"/>
      <c r="K270" s="162"/>
    </row>
    <row r="271" spans="1:11" x14ac:dyDescent="0.2">
      <c r="A271" s="54" t="s">
        <v>36</v>
      </c>
      <c r="B271" s="332">
        <v>629.70000000000005</v>
      </c>
      <c r="C271" s="204">
        <v>2000</v>
      </c>
      <c r="D271" s="348">
        <v>2000</v>
      </c>
      <c r="E271" s="204">
        <v>2000</v>
      </c>
      <c r="F271" s="354">
        <v>1000</v>
      </c>
      <c r="G271" s="261">
        <v>2000</v>
      </c>
      <c r="H271" s="204">
        <v>803.6</v>
      </c>
      <c r="I271" s="204">
        <v>800</v>
      </c>
      <c r="J271" s="204"/>
      <c r="K271" s="162"/>
    </row>
    <row r="272" spans="1:11" x14ac:dyDescent="0.2">
      <c r="A272" s="54" t="s">
        <v>98</v>
      </c>
      <c r="B272" s="332"/>
      <c r="C272" s="204"/>
      <c r="D272" s="348"/>
      <c r="E272" s="204"/>
      <c r="F272" s="354"/>
      <c r="G272" s="261"/>
      <c r="H272" s="204"/>
      <c r="I272" s="204"/>
      <c r="J272" s="204"/>
      <c r="K272" s="162"/>
    </row>
    <row r="273" spans="1:11" s="27" customFormat="1" ht="12" customHeight="1" x14ac:dyDescent="0.2">
      <c r="A273" s="57" t="s">
        <v>293</v>
      </c>
      <c r="B273" s="332">
        <v>0</v>
      </c>
      <c r="C273" s="204">
        <v>0</v>
      </c>
      <c r="D273" s="348">
        <v>0</v>
      </c>
      <c r="E273" s="204">
        <v>0</v>
      </c>
      <c r="F273" s="354">
        <v>0</v>
      </c>
      <c r="G273" s="261">
        <v>0</v>
      </c>
      <c r="H273" s="204"/>
      <c r="I273" s="204"/>
      <c r="J273" s="204"/>
      <c r="K273" s="162"/>
    </row>
    <row r="274" spans="1:11" s="27" customFormat="1" x14ac:dyDescent="0.2">
      <c r="A274" s="57" t="s">
        <v>294</v>
      </c>
      <c r="B274" s="332">
        <v>-284.94</v>
      </c>
      <c r="C274" s="204">
        <v>0</v>
      </c>
      <c r="D274" s="348">
        <v>0</v>
      </c>
      <c r="E274" s="204">
        <v>0</v>
      </c>
      <c r="F274" s="354">
        <v>0</v>
      </c>
      <c r="G274" s="261">
        <v>0</v>
      </c>
      <c r="H274" s="204"/>
      <c r="I274" s="204"/>
      <c r="J274" s="204"/>
      <c r="K274" s="162"/>
    </row>
    <row r="275" spans="1:11" s="27" customFormat="1" x14ac:dyDescent="0.2">
      <c r="A275" s="95" t="s">
        <v>99</v>
      </c>
      <c r="B275" s="332"/>
      <c r="C275" s="204"/>
      <c r="D275" s="348"/>
      <c r="E275" s="204"/>
      <c r="F275" s="354"/>
      <c r="G275" s="261"/>
      <c r="H275" s="204"/>
      <c r="I275" s="204"/>
      <c r="J275" s="204"/>
      <c r="K275" s="162"/>
    </row>
    <row r="276" spans="1:11" s="27" customFormat="1" x14ac:dyDescent="0.2">
      <c r="A276" s="57" t="s">
        <v>295</v>
      </c>
      <c r="B276" s="332">
        <v>500</v>
      </c>
      <c r="C276" s="204"/>
      <c r="D276" s="348"/>
      <c r="E276" s="204"/>
      <c r="F276" s="354">
        <v>500</v>
      </c>
      <c r="G276" s="261">
        <v>500</v>
      </c>
      <c r="H276" s="204"/>
      <c r="I276" s="204">
        <v>500</v>
      </c>
      <c r="J276" s="204"/>
      <c r="K276" s="162"/>
    </row>
    <row r="277" spans="1:11" s="27" customFormat="1" x14ac:dyDescent="0.2">
      <c r="A277" s="57" t="s">
        <v>296</v>
      </c>
      <c r="B277" s="332">
        <v>474.75</v>
      </c>
      <c r="C277" s="204"/>
      <c r="D277" s="348"/>
      <c r="E277" s="204"/>
      <c r="F277" s="354">
        <v>475</v>
      </c>
      <c r="G277" s="261">
        <v>475</v>
      </c>
      <c r="H277" s="204"/>
      <c r="I277" s="204">
        <v>475</v>
      </c>
      <c r="J277" s="204"/>
      <c r="K277" s="162"/>
    </row>
    <row r="278" spans="1:11" x14ac:dyDescent="0.2">
      <c r="A278" s="110" t="s">
        <v>365</v>
      </c>
      <c r="B278" s="332">
        <v>60292.07</v>
      </c>
      <c r="C278" s="204">
        <v>101934</v>
      </c>
      <c r="D278" s="348">
        <v>101933.5</v>
      </c>
      <c r="E278" s="204">
        <v>96186</v>
      </c>
      <c r="F278" s="354">
        <v>104490</v>
      </c>
      <c r="G278" s="261">
        <v>99756</v>
      </c>
      <c r="H278" s="204">
        <v>51911.4</v>
      </c>
      <c r="I278" s="204">
        <v>100037</v>
      </c>
      <c r="J278" s="204"/>
      <c r="K278" s="162"/>
    </row>
    <row r="279" spans="1:11" x14ac:dyDescent="0.2">
      <c r="A279" s="111" t="s">
        <v>366</v>
      </c>
      <c r="B279" s="332">
        <v>0</v>
      </c>
      <c r="C279" s="204">
        <v>2000</v>
      </c>
      <c r="D279" s="348">
        <v>2000</v>
      </c>
      <c r="E279" s="204">
        <v>2000</v>
      </c>
      <c r="F279" s="354">
        <v>0</v>
      </c>
      <c r="G279" s="261">
        <v>1025</v>
      </c>
      <c r="H279" s="204"/>
      <c r="I279" s="204">
        <v>200</v>
      </c>
      <c r="J279" s="204"/>
      <c r="K279" s="162"/>
    </row>
    <row r="280" spans="1:11" x14ac:dyDescent="0.2">
      <c r="A280" s="112" t="s">
        <v>367</v>
      </c>
      <c r="B280" s="42"/>
      <c r="C280" s="105"/>
      <c r="D280" s="105"/>
      <c r="E280" s="105"/>
      <c r="F280" s="105"/>
      <c r="G280" s="211"/>
      <c r="H280" s="105"/>
      <c r="I280" s="105"/>
      <c r="J280" s="105"/>
      <c r="K280" s="105"/>
    </row>
    <row r="281" spans="1:11" x14ac:dyDescent="0.2">
      <c r="A281" s="113" t="s">
        <v>368</v>
      </c>
      <c r="B281" s="85"/>
      <c r="C281" s="114"/>
      <c r="D281" s="114"/>
      <c r="E281" s="114"/>
      <c r="F281" s="114"/>
      <c r="G281" s="212"/>
      <c r="H281" s="114"/>
      <c r="I281" s="114"/>
      <c r="J281" s="114"/>
      <c r="K281" s="114"/>
    </row>
    <row r="282" spans="1:11" x14ac:dyDescent="0.2">
      <c r="A282" s="142" t="s">
        <v>369</v>
      </c>
      <c r="B282" s="43"/>
      <c r="C282" s="127"/>
      <c r="D282" s="127"/>
      <c r="E282" s="127"/>
      <c r="F282" s="127"/>
      <c r="G282" s="213"/>
      <c r="H282" s="127"/>
      <c r="I282" s="127"/>
      <c r="J282" s="127"/>
      <c r="K282" s="127"/>
    </row>
    <row r="283" spans="1:11" x14ac:dyDescent="0.2">
      <c r="A283" s="59" t="s">
        <v>115</v>
      </c>
      <c r="B283" s="325">
        <f t="shared" ref="B283:J283" si="27">SUM(B269:B282)</f>
        <v>94160.42</v>
      </c>
      <c r="C283" s="207">
        <f t="shared" si="27"/>
        <v>145000</v>
      </c>
      <c r="D283" s="351">
        <f t="shared" si="27"/>
        <v>144999.5</v>
      </c>
      <c r="E283" s="207">
        <f t="shared" si="27"/>
        <v>138401.4</v>
      </c>
      <c r="F283" s="355">
        <f t="shared" si="27"/>
        <v>134465</v>
      </c>
      <c r="G283" s="407">
        <f t="shared" si="27"/>
        <v>131756</v>
      </c>
      <c r="H283" s="207">
        <f t="shared" si="27"/>
        <v>56461.490000000005</v>
      </c>
      <c r="I283" s="207">
        <f t="shared" si="27"/>
        <v>130012</v>
      </c>
      <c r="J283" s="207">
        <f t="shared" si="27"/>
        <v>0</v>
      </c>
      <c r="K283" s="130">
        <f t="shared" ref="K283" si="28">SUM(K269:K282)</f>
        <v>0</v>
      </c>
    </row>
    <row r="284" spans="1:11" x14ac:dyDescent="0.2">
      <c r="A284" s="54"/>
      <c r="B284" s="109"/>
      <c r="C284" s="204"/>
      <c r="D284" s="348"/>
      <c r="E284" s="204"/>
      <c r="F284" s="354"/>
      <c r="G284" s="261"/>
      <c r="H284" s="204"/>
      <c r="I284" s="204"/>
      <c r="J284" s="204"/>
      <c r="K284" s="162"/>
    </row>
    <row r="285" spans="1:11" x14ac:dyDescent="0.2">
      <c r="A285" s="52" t="s">
        <v>38</v>
      </c>
      <c r="B285" s="109"/>
      <c r="C285" s="204"/>
      <c r="D285" s="348"/>
      <c r="E285" s="204"/>
      <c r="F285" s="354"/>
      <c r="G285" s="261"/>
      <c r="H285" s="204"/>
      <c r="I285" s="204"/>
      <c r="J285" s="204"/>
      <c r="K285" s="162"/>
    </row>
    <row r="286" spans="1:11" x14ac:dyDescent="0.2">
      <c r="A286" s="54" t="s">
        <v>297</v>
      </c>
      <c r="B286" s="332">
        <v>149816.70000000001</v>
      </c>
      <c r="C286" s="204">
        <v>118922.8</v>
      </c>
      <c r="D286" s="348">
        <v>118922.5</v>
      </c>
      <c r="E286" s="204">
        <v>112216.4</v>
      </c>
      <c r="F286" s="354">
        <v>121905</v>
      </c>
      <c r="G286" s="261">
        <v>100268</v>
      </c>
      <c r="H286" s="204">
        <v>-1650.71</v>
      </c>
      <c r="I286" s="204">
        <v>98036</v>
      </c>
      <c r="J286" s="381">
        <v>12000</v>
      </c>
      <c r="K286" s="359"/>
    </row>
    <row r="287" spans="1:11" x14ac:dyDescent="0.2">
      <c r="A287" s="54" t="s">
        <v>298</v>
      </c>
      <c r="B287" s="332">
        <v>13947.87</v>
      </c>
      <c r="C287" s="204">
        <v>0</v>
      </c>
      <c r="D287" s="348">
        <v>0</v>
      </c>
      <c r="E287" s="204">
        <v>0</v>
      </c>
      <c r="F287" s="354">
        <v>0</v>
      </c>
      <c r="G287" s="261">
        <v>16114</v>
      </c>
      <c r="H287" s="204">
        <v>91149.04</v>
      </c>
      <c r="I287" s="204">
        <v>18674</v>
      </c>
      <c r="J287" s="204"/>
      <c r="K287" s="359"/>
    </row>
    <row r="288" spans="1:11" x14ac:dyDescent="0.2">
      <c r="A288" s="54" t="s">
        <v>56</v>
      </c>
      <c r="B288" s="332">
        <v>5664.12</v>
      </c>
      <c r="C288" s="204">
        <v>10000</v>
      </c>
      <c r="D288" s="348">
        <v>10000</v>
      </c>
      <c r="E288" s="204">
        <v>10000</v>
      </c>
      <c r="F288" s="354">
        <f>3746+200</f>
        <v>3946</v>
      </c>
      <c r="G288" s="261">
        <v>5000</v>
      </c>
      <c r="H288" s="204">
        <v>242.06</v>
      </c>
      <c r="I288" s="204">
        <v>4430</v>
      </c>
      <c r="J288" s="204"/>
      <c r="K288" s="162"/>
    </row>
    <row r="289" spans="1:11" x14ac:dyDescent="0.2">
      <c r="A289" s="54" t="s">
        <v>57</v>
      </c>
      <c r="B289" s="332">
        <v>146577.04999999999</v>
      </c>
      <c r="C289" s="204">
        <v>146000</v>
      </c>
      <c r="D289" s="348">
        <v>146000</v>
      </c>
      <c r="E289" s="204">
        <v>148000</v>
      </c>
      <c r="F289" s="354">
        <v>148400</v>
      </c>
      <c r="G289" s="261">
        <v>147800</v>
      </c>
      <c r="H289" s="204">
        <f>121332.53+78+508.66</f>
        <v>121919.19</v>
      </c>
      <c r="I289" s="204">
        <v>146941</v>
      </c>
      <c r="J289" s="204"/>
      <c r="K289" s="162"/>
    </row>
    <row r="290" spans="1:11" x14ac:dyDescent="0.2">
      <c r="A290" s="54" t="s">
        <v>58</v>
      </c>
      <c r="B290" s="332">
        <v>3265.31</v>
      </c>
      <c r="C290" s="204">
        <v>2000</v>
      </c>
      <c r="D290" s="348">
        <v>2000</v>
      </c>
      <c r="E290" s="204">
        <v>2000</v>
      </c>
      <c r="F290" s="354">
        <v>3200</v>
      </c>
      <c r="G290" s="261">
        <v>3200</v>
      </c>
      <c r="H290" s="204">
        <v>553.16</v>
      </c>
      <c r="I290" s="204">
        <v>1493</v>
      </c>
      <c r="J290" s="204"/>
      <c r="K290" s="162"/>
    </row>
    <row r="291" spans="1:11" x14ac:dyDescent="0.2">
      <c r="A291" s="53" t="s">
        <v>78</v>
      </c>
      <c r="B291" s="332">
        <v>952.34</v>
      </c>
      <c r="C291" s="204"/>
      <c r="D291" s="348"/>
      <c r="E291" s="204"/>
      <c r="F291" s="354">
        <v>950</v>
      </c>
      <c r="G291" s="261">
        <v>0</v>
      </c>
      <c r="H291" s="204">
        <v>19.97</v>
      </c>
      <c r="I291" s="204">
        <v>500</v>
      </c>
      <c r="J291" s="204"/>
      <c r="K291" s="162"/>
    </row>
    <row r="292" spans="1:11" ht="24" x14ac:dyDescent="0.2">
      <c r="A292" s="333" t="s">
        <v>299</v>
      </c>
      <c r="B292" s="334">
        <v>0</v>
      </c>
      <c r="C292" s="204"/>
      <c r="D292" s="348"/>
      <c r="E292" s="204"/>
      <c r="F292" s="354"/>
      <c r="G292" s="261"/>
      <c r="H292" s="204"/>
      <c r="I292" s="204"/>
      <c r="J292" s="204"/>
      <c r="K292" s="162"/>
    </row>
    <row r="293" spans="1:11" ht="12.75" customHeight="1" x14ac:dyDescent="0.2">
      <c r="A293" s="115" t="s">
        <v>126</v>
      </c>
      <c r="B293" s="335">
        <v>9928.9599999999991</v>
      </c>
      <c r="C293" s="204">
        <v>9000</v>
      </c>
      <c r="D293" s="348">
        <v>9000</v>
      </c>
      <c r="E293" s="204">
        <v>9000</v>
      </c>
      <c r="F293" s="354">
        <v>10000</v>
      </c>
      <c r="G293" s="261">
        <v>10000</v>
      </c>
      <c r="H293" s="204">
        <f>9339.89+564.5+429.11+432.11+392</f>
        <v>11157.61</v>
      </c>
      <c r="I293" s="204">
        <v>12476</v>
      </c>
      <c r="J293" s="381">
        <v>3000</v>
      </c>
      <c r="K293" s="162"/>
    </row>
    <row r="294" spans="1:11" x14ac:dyDescent="0.2">
      <c r="A294" s="51" t="s">
        <v>59</v>
      </c>
      <c r="B294" s="325">
        <f t="shared" ref="B294:J294" si="29">SUM(B286:B293)</f>
        <v>330152.35000000003</v>
      </c>
      <c r="C294" s="207">
        <f t="shared" si="29"/>
        <v>285922.8</v>
      </c>
      <c r="D294" s="351">
        <f t="shared" si="29"/>
        <v>285922.5</v>
      </c>
      <c r="E294" s="207">
        <f t="shared" si="29"/>
        <v>281216.40000000002</v>
      </c>
      <c r="F294" s="355">
        <f t="shared" si="29"/>
        <v>288401</v>
      </c>
      <c r="G294" s="407">
        <f t="shared" si="29"/>
        <v>282382</v>
      </c>
      <c r="H294" s="207">
        <f t="shared" si="29"/>
        <v>223390.32</v>
      </c>
      <c r="I294" s="207">
        <v>282549</v>
      </c>
      <c r="J294" s="207">
        <f t="shared" si="29"/>
        <v>15000</v>
      </c>
      <c r="K294" s="130">
        <f t="shared" ref="K294" si="30">SUM(K286:K293)</f>
        <v>0</v>
      </c>
    </row>
    <row r="295" spans="1:11" x14ac:dyDescent="0.2">
      <c r="A295" s="54"/>
      <c r="B295" s="109"/>
      <c r="C295" s="204"/>
      <c r="D295" s="348"/>
      <c r="E295" s="204"/>
      <c r="F295" s="354"/>
      <c r="G295" s="261"/>
      <c r="H295" s="204"/>
      <c r="I295" s="204"/>
      <c r="J295" s="204"/>
      <c r="K295" s="162"/>
    </row>
    <row r="296" spans="1:11" x14ac:dyDescent="0.2">
      <c r="A296" s="116" t="s">
        <v>52</v>
      </c>
      <c r="B296" s="109"/>
      <c r="C296" s="204"/>
      <c r="D296" s="348"/>
      <c r="E296" s="204"/>
      <c r="F296" s="354"/>
      <c r="G296" s="261"/>
      <c r="H296" s="204"/>
      <c r="I296" s="204"/>
      <c r="J296" s="204"/>
      <c r="K296" s="162"/>
    </row>
    <row r="297" spans="1:11" x14ac:dyDescent="0.2">
      <c r="A297" s="117" t="s">
        <v>39</v>
      </c>
      <c r="B297" s="183">
        <v>7593.56</v>
      </c>
      <c r="C297" s="204">
        <v>27000</v>
      </c>
      <c r="D297" s="348">
        <v>27000</v>
      </c>
      <c r="E297" s="204">
        <v>17000</v>
      </c>
      <c r="F297" s="354">
        <v>27000</v>
      </c>
      <c r="G297" s="261">
        <v>27000</v>
      </c>
      <c r="H297" s="204">
        <v>13420.47</v>
      </c>
      <c r="I297" s="204">
        <v>23000</v>
      </c>
      <c r="J297" s="204"/>
      <c r="K297" s="162"/>
    </row>
    <row r="298" spans="1:11" x14ac:dyDescent="0.2">
      <c r="A298" s="117" t="s">
        <v>300</v>
      </c>
      <c r="B298" s="183">
        <v>17042.009999999998</v>
      </c>
      <c r="C298" s="204">
        <v>20000</v>
      </c>
      <c r="D298" s="348">
        <v>20000</v>
      </c>
      <c r="E298" s="204">
        <v>20000</v>
      </c>
      <c r="F298" s="354">
        <v>20000</v>
      </c>
      <c r="G298" s="261">
        <v>19000</v>
      </c>
      <c r="H298" s="204">
        <v>18384.939999999999</v>
      </c>
      <c r="I298" s="204">
        <v>18385</v>
      </c>
      <c r="J298" s="204"/>
      <c r="K298" s="162"/>
    </row>
    <row r="299" spans="1:11" s="60" customFormat="1" ht="12" x14ac:dyDescent="0.2">
      <c r="A299" s="117" t="s">
        <v>40</v>
      </c>
      <c r="B299" s="183">
        <v>0</v>
      </c>
      <c r="C299" s="204">
        <v>3000</v>
      </c>
      <c r="D299" s="348">
        <v>3000</v>
      </c>
      <c r="E299" s="204">
        <v>3000</v>
      </c>
      <c r="F299" s="354">
        <v>500</v>
      </c>
      <c r="G299" s="261">
        <v>2500</v>
      </c>
      <c r="H299" s="204"/>
      <c r="I299" s="204">
        <v>500</v>
      </c>
      <c r="J299" s="204"/>
      <c r="K299" s="162"/>
    </row>
    <row r="300" spans="1:11" x14ac:dyDescent="0.2">
      <c r="A300" s="61" t="s">
        <v>116</v>
      </c>
      <c r="B300" s="325">
        <f t="shared" ref="B300:J300" si="31">SUM(B297:B299)</f>
        <v>24635.57</v>
      </c>
      <c r="C300" s="207">
        <f t="shared" si="31"/>
        <v>50000</v>
      </c>
      <c r="D300" s="351">
        <f t="shared" si="31"/>
        <v>50000</v>
      </c>
      <c r="E300" s="207">
        <f t="shared" si="31"/>
        <v>40000</v>
      </c>
      <c r="F300" s="355">
        <f t="shared" si="31"/>
        <v>47500</v>
      </c>
      <c r="G300" s="407">
        <f t="shared" si="31"/>
        <v>48500</v>
      </c>
      <c r="H300" s="207">
        <f t="shared" si="31"/>
        <v>31805.409999999996</v>
      </c>
      <c r="I300" s="207">
        <f t="shared" si="31"/>
        <v>41885</v>
      </c>
      <c r="J300" s="207">
        <f t="shared" si="31"/>
        <v>0</v>
      </c>
      <c r="K300" s="130">
        <f t="shared" ref="K300" si="32">SUM(K297:K299)</f>
        <v>0</v>
      </c>
    </row>
    <row r="301" spans="1:11" x14ac:dyDescent="0.2">
      <c r="A301" s="34"/>
      <c r="B301" s="109"/>
      <c r="C301" s="204"/>
      <c r="D301" s="348"/>
      <c r="E301" s="204"/>
      <c r="F301" s="386"/>
      <c r="G301" s="261"/>
      <c r="H301" s="204"/>
      <c r="I301" s="204"/>
      <c r="J301" s="204"/>
      <c r="K301" s="162"/>
    </row>
    <row r="302" spans="1:11" s="55" customFormat="1" x14ac:dyDescent="0.2">
      <c r="A302" s="25" t="s">
        <v>117</v>
      </c>
      <c r="B302" s="109"/>
      <c r="C302" s="204"/>
      <c r="D302" s="348"/>
      <c r="E302" s="204"/>
      <c r="F302" s="386"/>
      <c r="G302" s="261"/>
      <c r="H302" s="204"/>
      <c r="I302" s="204"/>
      <c r="J302" s="204"/>
      <c r="K302" s="162"/>
    </row>
    <row r="303" spans="1:11" s="62" customFormat="1" ht="12.75" customHeight="1" x14ac:dyDescent="0.2">
      <c r="A303" s="35" t="s">
        <v>301</v>
      </c>
      <c r="B303" s="335"/>
      <c r="C303" s="204"/>
      <c r="D303" s="348"/>
      <c r="E303" s="204"/>
      <c r="F303" s="386"/>
      <c r="G303" s="261"/>
      <c r="H303" s="204"/>
      <c r="I303" s="204"/>
      <c r="J303" s="204"/>
      <c r="K303" s="162"/>
    </row>
    <row r="304" spans="1:11" s="62" customFormat="1" ht="12.75" customHeight="1" x14ac:dyDescent="0.2">
      <c r="A304" s="35" t="s">
        <v>302</v>
      </c>
      <c r="B304" s="335">
        <v>7984.42</v>
      </c>
      <c r="C304" s="204">
        <v>20800</v>
      </c>
      <c r="D304" s="348">
        <v>20800</v>
      </c>
      <c r="E304" s="204">
        <v>14757</v>
      </c>
      <c r="F304" s="354">
        <v>24114</v>
      </c>
      <c r="G304" s="261">
        <v>31363.5</v>
      </c>
      <c r="H304" s="204"/>
      <c r="I304" s="204">
        <v>0</v>
      </c>
      <c r="J304" s="381">
        <v>12000</v>
      </c>
      <c r="K304" s="162"/>
    </row>
    <row r="305" spans="1:11" s="62" customFormat="1" ht="12.75" customHeight="1" x14ac:dyDescent="0.2">
      <c r="A305" s="35" t="s">
        <v>303</v>
      </c>
      <c r="B305" s="335">
        <v>2524.89</v>
      </c>
      <c r="C305" s="204">
        <v>9500</v>
      </c>
      <c r="D305" s="348">
        <v>9500</v>
      </c>
      <c r="E305" s="204">
        <v>9500</v>
      </c>
      <c r="F305" s="386"/>
      <c r="G305" s="261"/>
      <c r="H305" s="204"/>
      <c r="I305" s="204"/>
      <c r="J305" s="381">
        <v>22695</v>
      </c>
      <c r="K305" s="162"/>
    </row>
    <row r="306" spans="1:11" s="62" customFormat="1" ht="12.75" customHeight="1" x14ac:dyDescent="0.2">
      <c r="A306" s="35" t="s">
        <v>304</v>
      </c>
      <c r="B306" s="335"/>
      <c r="C306" s="204"/>
      <c r="D306" s="348"/>
      <c r="E306" s="204"/>
      <c r="F306" s="386"/>
      <c r="G306" s="261"/>
      <c r="H306" s="204"/>
      <c r="I306" s="204"/>
      <c r="J306" s="204"/>
      <c r="K306" s="162"/>
    </row>
    <row r="307" spans="1:11" s="62" customFormat="1" ht="12.75" customHeight="1" x14ac:dyDescent="0.2">
      <c r="A307" s="35" t="s">
        <v>305</v>
      </c>
      <c r="B307" s="335">
        <v>0</v>
      </c>
      <c r="C307" s="204"/>
      <c r="D307" s="348"/>
      <c r="E307" s="204"/>
      <c r="F307" s="386"/>
      <c r="G307" s="261"/>
      <c r="H307" s="204">
        <v>22.5</v>
      </c>
      <c r="I307" s="204">
        <v>23</v>
      </c>
      <c r="J307" s="204"/>
      <c r="K307" s="162"/>
    </row>
    <row r="308" spans="1:11" s="62" customFormat="1" ht="12.75" customHeight="1" x14ac:dyDescent="0.2">
      <c r="A308" s="35" t="s">
        <v>363</v>
      </c>
      <c r="B308" s="335">
        <v>0</v>
      </c>
      <c r="C308" s="206"/>
      <c r="D308" s="349"/>
      <c r="E308" s="206"/>
      <c r="F308" s="388"/>
      <c r="G308" s="261"/>
      <c r="H308" s="206"/>
      <c r="I308" s="206"/>
      <c r="J308" s="206"/>
      <c r="K308" s="127"/>
    </row>
    <row r="309" spans="1:11" s="62" customFormat="1" ht="13.5" customHeight="1" x14ac:dyDescent="0.2">
      <c r="A309" s="35" t="s">
        <v>306</v>
      </c>
      <c r="B309" s="335"/>
      <c r="C309" s="204"/>
      <c r="D309" s="348"/>
      <c r="E309" s="204"/>
      <c r="F309" s="386"/>
      <c r="G309" s="261"/>
      <c r="H309" s="204"/>
      <c r="I309" s="204"/>
      <c r="J309" s="204"/>
      <c r="K309" s="162"/>
    </row>
    <row r="310" spans="1:11" s="62" customFormat="1" ht="12.75" customHeight="1" x14ac:dyDescent="0.2">
      <c r="A310" s="35" t="s">
        <v>307</v>
      </c>
      <c r="B310" s="335">
        <v>0</v>
      </c>
      <c r="C310" s="204"/>
      <c r="D310" s="348"/>
      <c r="E310" s="204"/>
      <c r="F310" s="386"/>
      <c r="G310" s="261"/>
      <c r="H310" s="204"/>
      <c r="I310" s="204"/>
      <c r="J310" s="204"/>
      <c r="K310" s="162"/>
    </row>
    <row r="311" spans="1:11" s="62" customFormat="1" ht="12.75" customHeight="1" x14ac:dyDescent="0.2">
      <c r="A311" s="35" t="s">
        <v>308</v>
      </c>
      <c r="B311" s="335">
        <v>0</v>
      </c>
      <c r="C311" s="204"/>
      <c r="D311" s="348"/>
      <c r="E311" s="204"/>
      <c r="F311" s="386"/>
      <c r="G311" s="261"/>
      <c r="H311" s="204"/>
      <c r="I311" s="204"/>
      <c r="J311" s="204"/>
      <c r="K311" s="162"/>
    </row>
    <row r="312" spans="1:11" s="55" customFormat="1" ht="15" customHeight="1" x14ac:dyDescent="0.2">
      <c r="A312" s="31" t="s">
        <v>168</v>
      </c>
      <c r="B312" s="105"/>
      <c r="C312" s="105"/>
      <c r="D312" s="105"/>
      <c r="E312" s="105"/>
      <c r="F312" s="105"/>
      <c r="G312" s="211"/>
      <c r="H312" s="105"/>
      <c r="I312" s="105"/>
      <c r="J312" s="105"/>
      <c r="K312" s="105"/>
    </row>
    <row r="313" spans="1:11" s="55" customFormat="1" ht="15" customHeight="1" x14ac:dyDescent="0.2">
      <c r="A313" s="31" t="s">
        <v>169</v>
      </c>
      <c r="B313" s="105"/>
      <c r="C313" s="105"/>
      <c r="D313" s="105"/>
      <c r="E313" s="105"/>
      <c r="F313" s="105"/>
      <c r="G313" s="211"/>
      <c r="H313" s="105"/>
      <c r="I313" s="105"/>
      <c r="J313" s="105"/>
      <c r="K313" s="105"/>
    </row>
    <row r="314" spans="1:11" s="55" customFormat="1" ht="15" customHeight="1" x14ac:dyDescent="0.2">
      <c r="A314" s="31" t="s">
        <v>170</v>
      </c>
      <c r="B314" s="105"/>
      <c r="C314" s="105"/>
      <c r="D314" s="105"/>
      <c r="E314" s="105"/>
      <c r="F314" s="105"/>
      <c r="G314" s="211"/>
      <c r="H314" s="105"/>
      <c r="I314" s="105"/>
      <c r="J314" s="105"/>
      <c r="K314" s="105"/>
    </row>
    <row r="315" spans="1:11" s="55" customFormat="1" ht="15" customHeight="1" x14ac:dyDescent="0.2">
      <c r="A315" s="31" t="s">
        <v>309</v>
      </c>
      <c r="B315" s="105"/>
      <c r="C315" s="105"/>
      <c r="D315" s="105"/>
      <c r="E315" s="105"/>
      <c r="F315" s="105"/>
      <c r="G315" s="211"/>
      <c r="H315" s="105"/>
      <c r="I315" s="105"/>
      <c r="J315" s="105"/>
      <c r="K315" s="105"/>
    </row>
    <row r="316" spans="1:11" s="55" customFormat="1" ht="15" customHeight="1" x14ac:dyDescent="0.2">
      <c r="A316" s="336" t="s">
        <v>171</v>
      </c>
      <c r="B316" s="105"/>
      <c r="C316" s="105"/>
      <c r="D316" s="105"/>
      <c r="E316" s="105"/>
      <c r="F316" s="105"/>
      <c r="G316" s="211"/>
      <c r="H316" s="105"/>
      <c r="I316" s="105"/>
      <c r="J316" s="105"/>
      <c r="K316" s="105"/>
    </row>
    <row r="317" spans="1:11" s="55" customFormat="1" ht="15" customHeight="1" x14ac:dyDescent="0.2">
      <c r="A317" s="336" t="s">
        <v>172</v>
      </c>
      <c r="B317" s="105"/>
      <c r="C317" s="105"/>
      <c r="D317" s="105"/>
      <c r="E317" s="105"/>
      <c r="F317" s="105"/>
      <c r="G317" s="211"/>
      <c r="H317" s="105"/>
      <c r="I317" s="105"/>
      <c r="J317" s="105"/>
      <c r="K317" s="105"/>
    </row>
    <row r="318" spans="1:11" s="55" customFormat="1" ht="13.5" customHeight="1" x14ac:dyDescent="0.2">
      <c r="A318" s="336" t="s">
        <v>173</v>
      </c>
      <c r="B318" s="105"/>
      <c r="C318" s="105"/>
      <c r="D318" s="105"/>
      <c r="E318" s="105"/>
      <c r="F318" s="105"/>
      <c r="G318" s="211"/>
      <c r="H318" s="105"/>
      <c r="I318" s="105"/>
      <c r="J318" s="105"/>
      <c r="K318" s="105"/>
    </row>
    <row r="319" spans="1:11" s="55" customFormat="1" ht="13.5" customHeight="1" x14ac:dyDescent="0.2">
      <c r="A319" s="336" t="s">
        <v>174</v>
      </c>
      <c r="B319" s="105"/>
      <c r="C319" s="105"/>
      <c r="D319" s="105"/>
      <c r="E319" s="105"/>
      <c r="F319" s="105"/>
      <c r="G319" s="211"/>
      <c r="H319" s="105"/>
      <c r="I319" s="105"/>
      <c r="J319" s="105"/>
      <c r="K319" s="105"/>
    </row>
    <row r="320" spans="1:11" s="55" customFormat="1" ht="13.5" customHeight="1" x14ac:dyDescent="0.2">
      <c r="A320" s="337" t="s">
        <v>310</v>
      </c>
      <c r="B320" s="105"/>
      <c r="C320" s="105"/>
      <c r="D320" s="105"/>
      <c r="E320" s="105"/>
      <c r="F320" s="105"/>
      <c r="G320" s="211"/>
      <c r="H320" s="105"/>
      <c r="I320" s="105"/>
      <c r="J320" s="105"/>
      <c r="K320" s="105"/>
    </row>
    <row r="321" spans="1:11" s="55" customFormat="1" ht="13.5" customHeight="1" x14ac:dyDescent="0.2">
      <c r="A321" s="336" t="s">
        <v>175</v>
      </c>
      <c r="B321" s="105"/>
      <c r="C321" s="105"/>
      <c r="D321" s="105"/>
      <c r="E321" s="105"/>
      <c r="F321" s="105"/>
      <c r="G321" s="211"/>
      <c r="H321" s="105"/>
      <c r="I321" s="105"/>
      <c r="J321" s="105"/>
      <c r="K321" s="105"/>
    </row>
    <row r="322" spans="1:11" s="55" customFormat="1" ht="13.5" customHeight="1" x14ac:dyDescent="0.2">
      <c r="A322" s="338" t="s">
        <v>311</v>
      </c>
      <c r="B322" s="105"/>
      <c r="C322" s="105"/>
      <c r="D322" s="105"/>
      <c r="E322" s="105"/>
      <c r="F322" s="105"/>
      <c r="G322" s="211"/>
      <c r="H322" s="105"/>
      <c r="I322" s="105"/>
      <c r="J322" s="105"/>
      <c r="K322" s="105"/>
    </row>
    <row r="323" spans="1:11" s="62" customFormat="1" ht="13.5" customHeight="1" x14ac:dyDescent="0.2">
      <c r="A323" s="32" t="s">
        <v>312</v>
      </c>
      <c r="B323" s="118"/>
      <c r="C323" s="105"/>
      <c r="D323" s="105"/>
      <c r="E323" s="105"/>
      <c r="F323" s="105"/>
      <c r="G323" s="211"/>
      <c r="H323" s="118"/>
      <c r="I323" s="118"/>
      <c r="J323" s="105"/>
      <c r="K323" s="105"/>
    </row>
    <row r="324" spans="1:11" s="30" customFormat="1" x14ac:dyDescent="0.2">
      <c r="A324" s="56" t="s">
        <v>118</v>
      </c>
      <c r="B324" s="132">
        <f t="shared" ref="B324:J324" si="33">SUM(B304:B323)</f>
        <v>10509.31</v>
      </c>
      <c r="C324" s="209">
        <f t="shared" si="33"/>
        <v>30300</v>
      </c>
      <c r="D324" s="353">
        <f t="shared" si="33"/>
        <v>30300</v>
      </c>
      <c r="E324" s="209">
        <f t="shared" si="33"/>
        <v>24257</v>
      </c>
      <c r="F324" s="355">
        <f t="shared" si="33"/>
        <v>24114</v>
      </c>
      <c r="G324" s="407">
        <f t="shared" si="33"/>
        <v>31363.5</v>
      </c>
      <c r="H324" s="209">
        <f t="shared" si="33"/>
        <v>22.5</v>
      </c>
      <c r="I324" s="209">
        <f t="shared" si="33"/>
        <v>23</v>
      </c>
      <c r="J324" s="209">
        <f t="shared" si="33"/>
        <v>34695</v>
      </c>
      <c r="K324" s="360">
        <f t="shared" ref="K324" si="34">SUM(K304:K323)</f>
        <v>0</v>
      </c>
    </row>
    <row r="325" spans="1:11" s="26" customFormat="1" x14ac:dyDescent="0.2">
      <c r="A325" s="119"/>
      <c r="B325" s="41"/>
      <c r="C325" s="161"/>
      <c r="D325" s="161"/>
      <c r="E325" s="161"/>
      <c r="F325" s="161"/>
      <c r="G325" s="182"/>
      <c r="H325" s="161"/>
      <c r="I325" s="161"/>
      <c r="J325" s="161"/>
      <c r="K325" s="161"/>
    </row>
    <row r="326" spans="1:11" s="55" customFormat="1" x14ac:dyDescent="0.2">
      <c r="A326" s="120" t="s">
        <v>132</v>
      </c>
      <c r="B326" s="270"/>
      <c r="C326" s="85"/>
      <c r="D326" s="114"/>
      <c r="E326" s="114"/>
      <c r="F326" s="114"/>
      <c r="G326" s="212"/>
      <c r="H326" s="114"/>
      <c r="I326" s="114"/>
      <c r="J326" s="114"/>
      <c r="K326" s="114"/>
    </row>
    <row r="327" spans="1:11" s="55" customFormat="1" x14ac:dyDescent="0.2">
      <c r="A327" s="120" t="s">
        <v>133</v>
      </c>
      <c r="B327" s="270"/>
      <c r="C327" s="85"/>
      <c r="D327" s="114"/>
      <c r="E327" s="114"/>
      <c r="F327" s="114"/>
      <c r="G327" s="212"/>
      <c r="H327" s="114"/>
      <c r="I327" s="114"/>
      <c r="J327" s="114"/>
      <c r="K327" s="114"/>
    </row>
    <row r="328" spans="1:11" s="55" customFormat="1" x14ac:dyDescent="0.2">
      <c r="A328" s="121" t="s">
        <v>313</v>
      </c>
      <c r="B328" s="342"/>
      <c r="C328" s="122"/>
      <c r="D328" s="189"/>
      <c r="E328" s="189"/>
      <c r="F328" s="189"/>
      <c r="G328" s="212"/>
      <c r="H328" s="189"/>
      <c r="I328" s="189"/>
      <c r="J328" s="189"/>
      <c r="K328" s="189"/>
    </row>
    <row r="329" spans="1:11" s="55" customFormat="1" x14ac:dyDescent="0.2">
      <c r="A329" s="121" t="s">
        <v>314</v>
      </c>
      <c r="B329" s="342"/>
      <c r="C329" s="122"/>
      <c r="D329" s="189"/>
      <c r="E329" s="189"/>
      <c r="F329" s="189"/>
      <c r="G329" s="212"/>
      <c r="H329" s="189"/>
      <c r="I329" s="189"/>
      <c r="J329" s="189"/>
      <c r="K329" s="189"/>
    </row>
    <row r="330" spans="1:11" s="55" customFormat="1" x14ac:dyDescent="0.2">
      <c r="A330" s="121" t="s">
        <v>315</v>
      </c>
      <c r="B330" s="342"/>
      <c r="C330" s="122"/>
      <c r="D330" s="189"/>
      <c r="E330" s="189"/>
      <c r="F330" s="189"/>
      <c r="G330" s="212"/>
      <c r="H330" s="189"/>
      <c r="I330" s="189"/>
      <c r="J330" s="189"/>
      <c r="K330" s="189"/>
    </row>
    <row r="331" spans="1:11" s="55" customFormat="1" x14ac:dyDescent="0.2">
      <c r="A331" s="121" t="s">
        <v>316</v>
      </c>
      <c r="B331" s="342"/>
      <c r="C331" s="122"/>
      <c r="D331" s="189"/>
      <c r="E331" s="189"/>
      <c r="F331" s="189"/>
      <c r="G331" s="212"/>
      <c r="H331" s="189"/>
      <c r="I331" s="189"/>
      <c r="J331" s="189"/>
      <c r="K331" s="189"/>
    </row>
    <row r="332" spans="1:11" s="55" customFormat="1" x14ac:dyDescent="0.2">
      <c r="A332" s="121" t="s">
        <v>317</v>
      </c>
      <c r="B332" s="342"/>
      <c r="C332" s="122"/>
      <c r="D332" s="189"/>
      <c r="E332" s="189"/>
      <c r="F332" s="189"/>
      <c r="G332" s="212"/>
      <c r="H332" s="189"/>
      <c r="I332" s="189"/>
      <c r="J332" s="189"/>
      <c r="K332" s="189"/>
    </row>
    <row r="333" spans="1:11" s="55" customFormat="1" x14ac:dyDescent="0.2">
      <c r="A333" s="120" t="s">
        <v>134</v>
      </c>
      <c r="B333" s="342"/>
      <c r="C333" s="122"/>
      <c r="D333" s="189"/>
      <c r="E333" s="189"/>
      <c r="F333" s="189"/>
      <c r="G333" s="212"/>
      <c r="H333" s="189"/>
      <c r="I333" s="189"/>
      <c r="J333" s="189"/>
      <c r="K333" s="189"/>
    </row>
    <row r="334" spans="1:11" s="55" customFormat="1" x14ac:dyDescent="0.2">
      <c r="A334" s="120" t="s">
        <v>135</v>
      </c>
      <c r="B334" s="342"/>
      <c r="C334" s="122"/>
      <c r="D334" s="189"/>
      <c r="E334" s="189"/>
      <c r="F334" s="189"/>
      <c r="G334" s="212"/>
      <c r="H334" s="189"/>
      <c r="I334" s="189"/>
      <c r="J334" s="189"/>
      <c r="K334" s="189"/>
    </row>
    <row r="335" spans="1:11" s="55" customFormat="1" x14ac:dyDescent="0.2">
      <c r="A335" s="121" t="s">
        <v>318</v>
      </c>
      <c r="B335" s="342"/>
      <c r="C335" s="122"/>
      <c r="D335" s="189"/>
      <c r="E335" s="189"/>
      <c r="F335" s="189"/>
      <c r="G335" s="212"/>
      <c r="H335" s="189"/>
      <c r="I335" s="189"/>
      <c r="J335" s="189"/>
      <c r="K335" s="189"/>
    </row>
    <row r="336" spans="1:11" s="55" customFormat="1" x14ac:dyDescent="0.2">
      <c r="A336" s="121" t="s">
        <v>319</v>
      </c>
      <c r="B336" s="342"/>
      <c r="C336" s="122"/>
      <c r="D336" s="189"/>
      <c r="E336" s="189"/>
      <c r="F336" s="189"/>
      <c r="G336" s="212"/>
      <c r="H336" s="189"/>
      <c r="I336" s="189"/>
      <c r="J336" s="189"/>
      <c r="K336" s="189"/>
    </row>
    <row r="337" spans="1:11" s="55" customFormat="1" x14ac:dyDescent="0.2">
      <c r="A337" s="121" t="s">
        <v>320</v>
      </c>
      <c r="B337" s="342"/>
      <c r="C337" s="340"/>
      <c r="D337" s="190"/>
      <c r="E337" s="190"/>
      <c r="F337" s="190"/>
      <c r="G337" s="212"/>
      <c r="H337" s="190"/>
      <c r="I337" s="190"/>
      <c r="J337" s="190"/>
      <c r="K337" s="190"/>
    </row>
    <row r="338" spans="1:11" s="55" customFormat="1" x14ac:dyDescent="0.2">
      <c r="A338" s="120" t="s">
        <v>136</v>
      </c>
      <c r="B338" s="342"/>
      <c r="C338" s="122"/>
      <c r="D338" s="189"/>
      <c r="E338" s="189"/>
      <c r="F338" s="189"/>
      <c r="G338" s="212"/>
      <c r="H338" s="189"/>
      <c r="I338" s="189"/>
      <c r="J338" s="189"/>
      <c r="K338" s="189"/>
    </row>
    <row r="339" spans="1:11" s="55" customFormat="1" x14ac:dyDescent="0.2">
      <c r="A339" s="339" t="s">
        <v>141</v>
      </c>
      <c r="B339" s="343"/>
      <c r="C339" s="122"/>
      <c r="D339" s="189"/>
      <c r="E339" s="189"/>
      <c r="F339" s="189"/>
      <c r="G339" s="212"/>
      <c r="H339" s="189"/>
      <c r="I339" s="189"/>
      <c r="J339" s="189"/>
      <c r="K339" s="189"/>
    </row>
    <row r="340" spans="1:11" s="55" customFormat="1" x14ac:dyDescent="0.2">
      <c r="A340" s="123" t="s">
        <v>137</v>
      </c>
      <c r="B340" s="341"/>
      <c r="C340" s="124"/>
      <c r="D340" s="124"/>
      <c r="E340" s="124"/>
      <c r="F340" s="124"/>
      <c r="G340" s="215"/>
      <c r="H340" s="124"/>
      <c r="I340" s="124"/>
      <c r="J340" s="124"/>
      <c r="K340" s="124"/>
    </row>
    <row r="341" spans="1:11" s="29" customFormat="1" x14ac:dyDescent="0.2">
      <c r="A341" s="125"/>
      <c r="B341" s="126"/>
      <c r="C341" s="161"/>
      <c r="D341" s="161"/>
      <c r="E341" s="161"/>
      <c r="F341" s="161"/>
      <c r="G341" s="182"/>
      <c r="H341" s="161"/>
      <c r="I341" s="161"/>
      <c r="J341" s="161"/>
      <c r="K341" s="161"/>
    </row>
    <row r="342" spans="1:11" s="55" customFormat="1" x14ac:dyDescent="0.2">
      <c r="A342" s="145" t="s">
        <v>146</v>
      </c>
      <c r="B342" s="344"/>
      <c r="C342" s="162"/>
      <c r="D342" s="162"/>
      <c r="E342" s="162"/>
      <c r="F342" s="162"/>
      <c r="G342" s="213"/>
      <c r="H342" s="162"/>
      <c r="I342" s="162"/>
      <c r="J342" s="162"/>
      <c r="K342" s="162"/>
    </row>
    <row r="343" spans="1:11" s="62" customFormat="1" x14ac:dyDescent="0.2">
      <c r="A343" s="128" t="s">
        <v>147</v>
      </c>
      <c r="B343" s="43"/>
      <c r="C343" s="162"/>
      <c r="D343" s="162"/>
      <c r="E343" s="162"/>
      <c r="F343" s="162"/>
      <c r="G343" s="213">
        <v>5333</v>
      </c>
      <c r="H343" s="162">
        <v>5333.47</v>
      </c>
      <c r="I343" s="162">
        <v>5333</v>
      </c>
      <c r="J343" s="162"/>
      <c r="K343" s="162">
        <v>0</v>
      </c>
    </row>
    <row r="344" spans="1:11" s="62" customFormat="1" x14ac:dyDescent="0.2">
      <c r="A344" s="128" t="s">
        <v>321</v>
      </c>
      <c r="B344" s="43"/>
      <c r="C344" s="162"/>
      <c r="D344" s="162"/>
      <c r="E344" s="162"/>
      <c r="F344" s="162"/>
      <c r="G344" s="213"/>
      <c r="H344" s="162"/>
      <c r="I344" s="162"/>
      <c r="J344" s="162"/>
      <c r="K344" s="162">
        <v>0</v>
      </c>
    </row>
    <row r="345" spans="1:11" s="62" customFormat="1" x14ac:dyDescent="0.2">
      <c r="A345" s="128" t="s">
        <v>148</v>
      </c>
      <c r="B345" s="43"/>
      <c r="C345" s="162"/>
      <c r="D345" s="162"/>
      <c r="E345" s="162"/>
      <c r="F345" s="162"/>
      <c r="G345" s="213"/>
      <c r="H345" s="162"/>
      <c r="I345" s="162"/>
      <c r="J345" s="162"/>
      <c r="K345" s="162">
        <v>0</v>
      </c>
    </row>
    <row r="346" spans="1:11" s="62" customFormat="1" x14ac:dyDescent="0.2">
      <c r="A346" s="128" t="s">
        <v>149</v>
      </c>
      <c r="B346" s="88"/>
      <c r="C346" s="162"/>
      <c r="D346" s="162"/>
      <c r="E346" s="162"/>
      <c r="F346" s="162"/>
      <c r="G346" s="213"/>
      <c r="H346" s="162"/>
      <c r="I346" s="162"/>
      <c r="J346" s="162"/>
      <c r="K346" s="162">
        <v>0</v>
      </c>
    </row>
    <row r="347" spans="1:11" s="55" customFormat="1" x14ac:dyDescent="0.2">
      <c r="A347" s="129" t="s">
        <v>150</v>
      </c>
      <c r="B347" s="130"/>
      <c r="C347" s="130"/>
      <c r="D347" s="130"/>
      <c r="E347" s="130"/>
      <c r="F347" s="130"/>
      <c r="G347" s="216"/>
      <c r="H347" s="130"/>
      <c r="I347" s="130"/>
      <c r="J347" s="130"/>
      <c r="K347" s="130">
        <f t="shared" ref="K347" si="35">SUM(K343:K346)</f>
        <v>0</v>
      </c>
    </row>
    <row r="348" spans="1:11" s="26" customFormat="1" x14ac:dyDescent="0.2">
      <c r="A348" s="131"/>
      <c r="B348" s="41"/>
      <c r="C348" s="161"/>
      <c r="D348" s="161"/>
      <c r="E348" s="161"/>
      <c r="F348" s="161"/>
      <c r="G348" s="182"/>
      <c r="H348" s="161"/>
      <c r="I348" s="161"/>
      <c r="J348" s="161"/>
      <c r="K348" s="161"/>
    </row>
    <row r="349" spans="1:11" x14ac:dyDescent="0.2">
      <c r="A349" s="44" t="s">
        <v>19</v>
      </c>
      <c r="B349" s="217">
        <f t="shared" ref="B349:J349" si="36">B38+B52+B85+B98+B111+B130+B163+B173+B183+B209+B240+B256+B266+B283+B294+B300+B324+B340+B347</f>
        <v>1305134.2100000002</v>
      </c>
      <c r="C349" s="217">
        <f t="shared" si="36"/>
        <v>1422076.4000000001</v>
      </c>
      <c r="D349" s="217">
        <f t="shared" si="36"/>
        <v>1422076</v>
      </c>
      <c r="E349" s="217">
        <f t="shared" si="36"/>
        <v>1296266</v>
      </c>
      <c r="F349" s="217">
        <f t="shared" si="36"/>
        <v>1440477</v>
      </c>
      <c r="G349" s="217">
        <f t="shared" si="36"/>
        <v>1437198.5</v>
      </c>
      <c r="H349" s="217">
        <f t="shared" si="36"/>
        <v>805688.25000000012</v>
      </c>
      <c r="I349" s="217">
        <f t="shared" si="36"/>
        <v>1358109</v>
      </c>
      <c r="J349" s="217">
        <f t="shared" si="36"/>
        <v>82020</v>
      </c>
      <c r="K349" s="185">
        <f t="shared" ref="K349" si="37">K38+K52+K85+K98+K111+K130+K163+K173+K183+K209+K240+K256+K266+K283+K294+K300+K324+K340+K347</f>
        <v>0</v>
      </c>
    </row>
    <row r="350" spans="1:11" s="26" customFormat="1" x14ac:dyDescent="0.2">
      <c r="A350" s="63"/>
      <c r="B350" s="41"/>
      <c r="C350" s="161"/>
      <c r="D350" s="161"/>
      <c r="E350" s="161"/>
      <c r="F350" s="161"/>
      <c r="G350" s="182"/>
      <c r="H350" s="161"/>
      <c r="I350" s="161"/>
      <c r="J350" s="161"/>
      <c r="K350" s="161"/>
    </row>
    <row r="351" spans="1:11" s="26" customFormat="1" ht="20.25" customHeight="1" x14ac:dyDescent="0.2">
      <c r="A351" s="133" t="s">
        <v>112</v>
      </c>
      <c r="B351" s="134">
        <f>+B6</f>
        <v>27989</v>
      </c>
      <c r="C351" s="134">
        <f>+C6</f>
        <v>35000</v>
      </c>
      <c r="D351" s="134">
        <f>+D6</f>
        <v>35000</v>
      </c>
      <c r="E351" s="134">
        <f>+E6</f>
        <v>35000</v>
      </c>
      <c r="F351" s="134">
        <v>35000</v>
      </c>
      <c r="G351" s="218">
        <f>+G6</f>
        <v>34993</v>
      </c>
      <c r="H351" s="134">
        <f>+H6</f>
        <v>34993</v>
      </c>
      <c r="I351" s="134">
        <f>I6</f>
        <v>35210</v>
      </c>
      <c r="J351" s="134"/>
      <c r="K351" s="134"/>
    </row>
    <row r="352" spans="1:11" s="26" customFormat="1" ht="15" customHeight="1" x14ac:dyDescent="0.2">
      <c r="A352" s="64"/>
      <c r="B352" s="65"/>
      <c r="C352" s="161"/>
      <c r="D352" s="161"/>
      <c r="E352" s="161"/>
      <c r="F352" s="161"/>
      <c r="G352" s="219"/>
      <c r="H352" s="161"/>
      <c r="I352" s="161"/>
      <c r="J352" s="161"/>
      <c r="K352" s="161"/>
    </row>
    <row r="353" spans="1:11" s="26" customFormat="1" ht="15" customHeight="1" x14ac:dyDescent="0.2">
      <c r="A353" s="66" t="s">
        <v>131</v>
      </c>
      <c r="B353" s="136"/>
      <c r="C353" s="166"/>
      <c r="D353" s="166"/>
      <c r="E353" s="166"/>
      <c r="F353" s="166"/>
      <c r="G353" s="220"/>
      <c r="H353" s="166"/>
      <c r="I353" s="166"/>
      <c r="J353" s="166"/>
      <c r="K353" s="166"/>
    </row>
    <row r="354" spans="1:11" s="26" customFormat="1" ht="15" customHeight="1" x14ac:dyDescent="0.2">
      <c r="A354" s="67"/>
      <c r="B354" s="65"/>
      <c r="C354" s="161"/>
      <c r="D354" s="161"/>
      <c r="E354" s="161"/>
      <c r="F354" s="161"/>
      <c r="G354" s="219"/>
      <c r="H354" s="161"/>
      <c r="I354" s="161"/>
      <c r="J354" s="161"/>
      <c r="K354" s="202"/>
    </row>
    <row r="355" spans="1:11" s="26" customFormat="1" ht="15" customHeight="1" x14ac:dyDescent="0.2">
      <c r="A355" s="68" t="s">
        <v>407</v>
      </c>
      <c r="B355" s="221">
        <v>-11400</v>
      </c>
      <c r="C355" s="221">
        <v>5000</v>
      </c>
      <c r="D355" s="221"/>
      <c r="E355" s="221">
        <v>5000</v>
      </c>
      <c r="F355" s="221"/>
      <c r="G355" s="221"/>
      <c r="H355" s="221">
        <v>0</v>
      </c>
      <c r="I355" s="221">
        <v>0</v>
      </c>
      <c r="J355" s="221"/>
      <c r="K355" s="135"/>
    </row>
    <row r="356" spans="1:11" s="26" customFormat="1" ht="15" customHeight="1" x14ac:dyDescent="0.2">
      <c r="A356" s="276" t="s">
        <v>399</v>
      </c>
      <c r="B356" s="391">
        <v>15400</v>
      </c>
      <c r="C356" s="392"/>
      <c r="D356" s="392">
        <v>20400</v>
      </c>
      <c r="E356" s="392"/>
      <c r="F356" s="392">
        <v>0</v>
      </c>
      <c r="G356" s="221">
        <v>0</v>
      </c>
      <c r="H356" s="221">
        <v>0</v>
      </c>
      <c r="I356" s="221">
        <v>0</v>
      </c>
      <c r="J356" s="221"/>
      <c r="K356" s="135"/>
    </row>
    <row r="357" spans="1:11" s="26" customFormat="1" ht="15" customHeight="1" x14ac:dyDescent="0.2">
      <c r="A357" s="64"/>
      <c r="B357" s="393"/>
      <c r="C357" s="182"/>
      <c r="D357" s="182"/>
      <c r="E357" s="182"/>
      <c r="F357" s="182"/>
      <c r="G357" s="219"/>
      <c r="H357" s="182"/>
      <c r="I357" s="182"/>
      <c r="J357" s="182"/>
      <c r="K357" s="202"/>
    </row>
    <row r="358" spans="1:11" s="26" customFormat="1" ht="15" customHeight="1" x14ac:dyDescent="0.2">
      <c r="A358" s="69" t="s">
        <v>64</v>
      </c>
      <c r="B358" s="222">
        <v>12000</v>
      </c>
      <c r="C358" s="222">
        <v>10000</v>
      </c>
      <c r="D358" s="222">
        <v>10000</v>
      </c>
      <c r="E358" s="222">
        <v>10000</v>
      </c>
      <c r="F358" s="222">
        <v>10000</v>
      </c>
      <c r="G358" s="222">
        <v>15000</v>
      </c>
      <c r="H358" s="222">
        <v>0</v>
      </c>
      <c r="I358" s="222">
        <v>15000</v>
      </c>
      <c r="J358" s="222"/>
      <c r="K358" s="143"/>
    </row>
    <row r="359" spans="1:11" s="26" customFormat="1" ht="12.75" customHeight="1" x14ac:dyDescent="0.2">
      <c r="A359" s="70"/>
      <c r="B359" s="394"/>
      <c r="C359" s="182"/>
      <c r="D359" s="182"/>
      <c r="E359" s="182"/>
      <c r="F359" s="182"/>
      <c r="G359" s="182"/>
      <c r="H359" s="182"/>
      <c r="I359" s="182" t="s">
        <v>405</v>
      </c>
      <c r="J359" s="182"/>
      <c r="K359" s="202"/>
    </row>
    <row r="360" spans="1:11" ht="13.5" thickBot="1" x14ac:dyDescent="0.25">
      <c r="A360" s="137" t="s">
        <v>20</v>
      </c>
      <c r="B360" s="395">
        <f>B17-B349-B351-B355-B358-B356</f>
        <v>541.56999999983236</v>
      </c>
      <c r="C360" s="395">
        <f t="shared" ref="C360:E360" si="38">C17-C349-C351-C355-C358</f>
        <v>-2.3283064365386963E-10</v>
      </c>
      <c r="D360" s="223">
        <f>D17-D349-D351-D355-D358-D356</f>
        <v>0</v>
      </c>
      <c r="E360" s="223">
        <f t="shared" si="38"/>
        <v>0</v>
      </c>
      <c r="F360" s="223">
        <f>F17-F349-F351-F355-F358-F356</f>
        <v>1999</v>
      </c>
      <c r="G360" s="223">
        <f>G17-G349-G351-G355-G358-G356</f>
        <v>81.5</v>
      </c>
      <c r="H360" s="223">
        <f t="shared" ref="H360" si="39">H17-H349-H351-H355-H358-H356</f>
        <v>274970.74999999988</v>
      </c>
      <c r="I360" s="223">
        <f>I17-I349-I351-I355-I358-I356</f>
        <v>83492</v>
      </c>
      <c r="J360" s="223">
        <f>J17-J349-J351-J355-J358-J356+I360</f>
        <v>1472</v>
      </c>
      <c r="K360" s="187">
        <f>K17-K349-K351-K355-K358</f>
        <v>0</v>
      </c>
    </row>
    <row r="361" spans="1:11" s="26" customFormat="1" ht="16.149999999999999" customHeight="1" x14ac:dyDescent="0.2">
      <c r="B361" s="266"/>
      <c r="C361" s="74"/>
      <c r="D361" s="74"/>
      <c r="E361" s="74"/>
      <c r="F361" s="74"/>
      <c r="G361" s="210"/>
      <c r="H361" s="74"/>
      <c r="I361" s="74"/>
      <c r="J361" s="74"/>
      <c r="K361" s="74"/>
    </row>
    <row r="362" spans="1:11" s="26" customFormat="1" ht="15.75" x14ac:dyDescent="0.25">
      <c r="A362" s="138"/>
      <c r="B362" s="267"/>
      <c r="C362" s="74"/>
      <c r="D362" s="74"/>
      <c r="E362" s="74"/>
      <c r="F362" s="74"/>
      <c r="G362" s="210"/>
      <c r="H362" s="74"/>
      <c r="I362" s="74"/>
      <c r="J362" s="74"/>
      <c r="K362" s="74"/>
    </row>
    <row r="363" spans="1:11" s="26" customFormat="1" x14ac:dyDescent="0.2">
      <c r="A363" s="71"/>
      <c r="B363" s="139"/>
      <c r="C363" s="74"/>
      <c r="D363" s="74"/>
      <c r="E363" s="74"/>
      <c r="F363" s="74"/>
      <c r="G363" s="210"/>
      <c r="H363" s="74"/>
      <c r="I363" s="74"/>
      <c r="J363" s="74"/>
      <c r="K363" s="74"/>
    </row>
    <row r="364" spans="1:11" s="26" customFormat="1" x14ac:dyDescent="0.2">
      <c r="A364" s="71"/>
      <c r="B364" s="139"/>
      <c r="C364" s="74"/>
      <c r="D364" s="74"/>
      <c r="E364" s="74"/>
      <c r="F364" s="74"/>
      <c r="G364" s="210"/>
      <c r="H364" s="74"/>
      <c r="I364" s="74"/>
      <c r="J364" s="74"/>
      <c r="K364" s="74"/>
    </row>
    <row r="365" spans="1:11" s="26" customFormat="1" x14ac:dyDescent="0.2">
      <c r="A365" s="71"/>
      <c r="B365" s="139"/>
      <c r="C365" s="74"/>
      <c r="D365" s="74"/>
      <c r="E365" s="74"/>
      <c r="F365" s="74"/>
      <c r="G365" s="210"/>
      <c r="H365" s="74"/>
      <c r="I365" s="74"/>
      <c r="J365" s="74"/>
      <c r="K365" s="74"/>
    </row>
    <row r="366" spans="1:11" s="26" customFormat="1" x14ac:dyDescent="0.2">
      <c r="A366" s="71"/>
      <c r="B366" s="139"/>
      <c r="C366" s="74"/>
      <c r="D366" s="74"/>
      <c r="E366" s="74"/>
      <c r="F366" s="74"/>
      <c r="G366" s="210"/>
      <c r="H366" s="74"/>
      <c r="I366" s="74"/>
      <c r="J366" s="74"/>
      <c r="K366" s="74"/>
    </row>
    <row r="367" spans="1:11" s="26" customFormat="1" x14ac:dyDescent="0.2">
      <c r="A367" s="71"/>
      <c r="B367" s="140"/>
      <c r="C367" s="74"/>
      <c r="D367" s="74"/>
      <c r="E367" s="74"/>
      <c r="F367" s="74"/>
      <c r="G367" s="210"/>
      <c r="H367" s="74"/>
      <c r="I367" s="74"/>
      <c r="J367" s="74"/>
      <c r="K367" s="74"/>
    </row>
    <row r="368" spans="1:11" s="26" customFormat="1" ht="15" x14ac:dyDescent="0.25">
      <c r="A368" s="71"/>
      <c r="B368" s="72"/>
      <c r="C368" s="74"/>
      <c r="D368" s="74"/>
      <c r="E368" s="74"/>
      <c r="F368" s="74"/>
      <c r="G368" s="210"/>
      <c r="H368" s="74"/>
      <c r="I368" s="74"/>
      <c r="J368" s="74"/>
      <c r="K368" s="74"/>
    </row>
    <row r="369" spans="1:18" s="26" customFormat="1" x14ac:dyDescent="0.2">
      <c r="A369" s="29"/>
      <c r="B369" s="74"/>
      <c r="C369" s="74"/>
      <c r="D369" s="74"/>
      <c r="E369" s="74"/>
      <c r="F369" s="74"/>
      <c r="G369" s="210"/>
      <c r="H369" s="74"/>
      <c r="I369" s="74"/>
      <c r="J369" s="74"/>
      <c r="K369" s="74"/>
    </row>
    <row r="370" spans="1:18" x14ac:dyDescent="0.2">
      <c r="A370" s="26"/>
      <c r="B370" s="74"/>
    </row>
    <row r="371" spans="1:18" x14ac:dyDescent="0.2">
      <c r="A371" s="26"/>
      <c r="B371" s="74"/>
    </row>
    <row r="372" spans="1:18" x14ac:dyDescent="0.2">
      <c r="A372" s="26"/>
      <c r="B372" s="74"/>
    </row>
    <row r="373" spans="1:18" x14ac:dyDescent="0.2">
      <c r="A373" s="26"/>
      <c r="B373" s="74"/>
    </row>
    <row r="374" spans="1:18" x14ac:dyDescent="0.2">
      <c r="A374" s="26"/>
      <c r="B374" s="74"/>
    </row>
    <row r="375" spans="1:18" x14ac:dyDescent="0.2">
      <c r="A375" s="26"/>
      <c r="B375" s="74"/>
    </row>
    <row r="376" spans="1:18" s="75" customFormat="1" x14ac:dyDescent="0.2">
      <c r="A376" s="26"/>
      <c r="B376" s="74"/>
      <c r="C376" s="157"/>
      <c r="D376" s="157"/>
      <c r="E376" s="157"/>
      <c r="F376" s="157"/>
      <c r="G376" s="224"/>
      <c r="H376" s="157"/>
      <c r="I376" s="157"/>
      <c r="J376" s="157"/>
      <c r="K376" s="157"/>
      <c r="L376" s="38"/>
      <c r="M376" s="38"/>
      <c r="N376" s="38"/>
      <c r="O376" s="38"/>
      <c r="P376" s="38"/>
      <c r="Q376" s="38"/>
      <c r="R376" s="38"/>
    </row>
    <row r="377" spans="1:18" s="75" customFormat="1" x14ac:dyDescent="0.2">
      <c r="A377" s="26"/>
      <c r="B377" s="74"/>
      <c r="C377" s="157"/>
      <c r="D377" s="157"/>
      <c r="E377" s="157"/>
      <c r="F377" s="157"/>
      <c r="G377" s="224"/>
      <c r="H377" s="157"/>
      <c r="I377" s="157"/>
      <c r="J377" s="157"/>
      <c r="K377" s="157"/>
      <c r="L377" s="38"/>
      <c r="M377" s="38"/>
      <c r="N377" s="38"/>
      <c r="O377" s="38"/>
      <c r="P377" s="38"/>
      <c r="Q377" s="38"/>
      <c r="R377" s="38"/>
    </row>
    <row r="378" spans="1:18" s="75" customFormat="1" x14ac:dyDescent="0.2">
      <c r="A378" s="26"/>
      <c r="B378" s="74"/>
      <c r="C378" s="157"/>
      <c r="D378" s="157"/>
      <c r="E378" s="157"/>
      <c r="F378" s="157"/>
      <c r="G378" s="224"/>
      <c r="H378" s="157"/>
      <c r="I378" s="157"/>
      <c r="J378" s="157"/>
      <c r="K378" s="157"/>
      <c r="L378" s="38"/>
      <c r="M378" s="38"/>
      <c r="N378" s="38"/>
      <c r="O378" s="38"/>
      <c r="P378" s="38"/>
      <c r="Q378" s="38"/>
      <c r="R378" s="38"/>
    </row>
    <row r="379" spans="1:18" s="75" customFormat="1" x14ac:dyDescent="0.2">
      <c r="A379" s="26"/>
      <c r="B379" s="74"/>
      <c r="C379" s="157"/>
      <c r="D379" s="157"/>
      <c r="E379" s="157"/>
      <c r="F379" s="157"/>
      <c r="G379" s="224"/>
      <c r="H379" s="157"/>
      <c r="I379" s="157"/>
      <c r="J379" s="157"/>
      <c r="K379" s="157"/>
      <c r="L379" s="38"/>
      <c r="M379" s="38"/>
      <c r="N379" s="38"/>
      <c r="O379" s="38"/>
      <c r="P379" s="38"/>
      <c r="Q379" s="38"/>
      <c r="R379" s="38"/>
    </row>
    <row r="380" spans="1:18" s="75" customFormat="1" x14ac:dyDescent="0.2">
      <c r="A380" s="26"/>
      <c r="B380" s="74"/>
      <c r="C380" s="157"/>
      <c r="D380" s="157"/>
      <c r="E380" s="157"/>
      <c r="F380" s="157"/>
      <c r="G380" s="224"/>
      <c r="H380" s="157"/>
      <c r="I380" s="157"/>
      <c r="J380" s="157"/>
      <c r="K380" s="157"/>
      <c r="L380" s="38"/>
      <c r="M380" s="38"/>
      <c r="N380" s="38"/>
      <c r="O380" s="38"/>
      <c r="P380" s="38"/>
      <c r="Q380" s="38"/>
      <c r="R380" s="38"/>
    </row>
    <row r="381" spans="1:18" s="75" customFormat="1" x14ac:dyDescent="0.2">
      <c r="A381" s="26"/>
      <c r="B381" s="74"/>
      <c r="C381" s="157"/>
      <c r="D381" s="157"/>
      <c r="E381" s="157"/>
      <c r="F381" s="157"/>
      <c r="G381" s="224"/>
      <c r="H381" s="157"/>
      <c r="I381" s="157"/>
      <c r="J381" s="157"/>
      <c r="K381" s="157"/>
      <c r="L381" s="38"/>
      <c r="M381" s="38"/>
      <c r="N381" s="38"/>
      <c r="O381" s="38"/>
      <c r="P381" s="38"/>
      <c r="Q381" s="38"/>
      <c r="R381" s="38"/>
    </row>
    <row r="382" spans="1:18" s="75" customFormat="1" x14ac:dyDescent="0.2">
      <c r="A382" s="26"/>
      <c r="B382" s="74"/>
      <c r="C382" s="157"/>
      <c r="D382" s="157"/>
      <c r="E382" s="157"/>
      <c r="F382" s="157"/>
      <c r="G382" s="224"/>
      <c r="H382" s="157"/>
      <c r="I382" s="157"/>
      <c r="J382" s="157"/>
      <c r="K382" s="157"/>
      <c r="L382" s="38"/>
      <c r="M382" s="38"/>
      <c r="N382" s="38"/>
      <c r="O382" s="38"/>
      <c r="P382" s="38"/>
      <c r="Q382" s="38"/>
      <c r="R382" s="38"/>
    </row>
    <row r="383" spans="1:18" s="75" customFormat="1" x14ac:dyDescent="0.2">
      <c r="A383" s="26"/>
      <c r="B383" s="74"/>
      <c r="C383" s="157"/>
      <c r="D383" s="157"/>
      <c r="E383" s="157"/>
      <c r="F383" s="157"/>
      <c r="G383" s="224"/>
      <c r="H383" s="157"/>
      <c r="I383" s="157"/>
      <c r="J383" s="157"/>
      <c r="K383" s="157"/>
      <c r="L383" s="38"/>
      <c r="M383" s="38"/>
      <c r="N383" s="38"/>
      <c r="O383" s="38"/>
      <c r="P383" s="38"/>
      <c r="Q383" s="38"/>
      <c r="R383" s="38"/>
    </row>
    <row r="384" spans="1:18" s="75" customFormat="1" x14ac:dyDescent="0.2">
      <c r="A384" s="26"/>
      <c r="B384" s="74"/>
      <c r="C384" s="157"/>
      <c r="D384" s="157"/>
      <c r="E384" s="157"/>
      <c r="F384" s="157"/>
      <c r="G384" s="224"/>
      <c r="H384" s="157"/>
      <c r="I384" s="157"/>
      <c r="J384" s="157"/>
      <c r="K384" s="157"/>
      <c r="L384" s="38"/>
      <c r="M384" s="38"/>
      <c r="N384" s="38"/>
      <c r="O384" s="38"/>
      <c r="P384" s="38"/>
      <c r="Q384" s="38"/>
      <c r="R384" s="38"/>
    </row>
    <row r="385" spans="1:18" s="75" customFormat="1" x14ac:dyDescent="0.2">
      <c r="A385" s="26"/>
      <c r="B385" s="74"/>
      <c r="C385" s="157"/>
      <c r="D385" s="157"/>
      <c r="E385" s="157"/>
      <c r="F385" s="157"/>
      <c r="G385" s="224"/>
      <c r="H385" s="157"/>
      <c r="I385" s="157"/>
      <c r="J385" s="157"/>
      <c r="K385" s="157"/>
      <c r="L385" s="38"/>
      <c r="M385" s="38"/>
      <c r="N385" s="38"/>
      <c r="O385" s="38"/>
      <c r="P385" s="38"/>
      <c r="Q385" s="38"/>
      <c r="R385" s="38"/>
    </row>
    <row r="386" spans="1:18" s="75" customFormat="1" x14ac:dyDescent="0.2">
      <c r="A386" s="26"/>
      <c r="B386" s="74"/>
      <c r="C386" s="157"/>
      <c r="D386" s="157"/>
      <c r="E386" s="157"/>
      <c r="F386" s="157"/>
      <c r="G386" s="224"/>
      <c r="H386" s="157"/>
      <c r="I386" s="157"/>
      <c r="J386" s="157"/>
      <c r="K386" s="157"/>
      <c r="L386" s="38"/>
      <c r="M386" s="38"/>
      <c r="N386" s="38"/>
      <c r="O386" s="38"/>
      <c r="P386" s="38"/>
      <c r="Q386" s="38"/>
      <c r="R386" s="38"/>
    </row>
    <row r="387" spans="1:18" s="75" customFormat="1" x14ac:dyDescent="0.2">
      <c r="A387" s="26"/>
      <c r="B387" s="74"/>
      <c r="C387" s="157"/>
      <c r="D387" s="157"/>
      <c r="E387" s="157"/>
      <c r="F387" s="157"/>
      <c r="G387" s="224"/>
      <c r="H387" s="157"/>
      <c r="I387" s="157"/>
      <c r="J387" s="157"/>
      <c r="K387" s="157"/>
      <c r="L387" s="38"/>
      <c r="M387" s="38"/>
      <c r="N387" s="38"/>
      <c r="O387" s="38"/>
      <c r="P387" s="38"/>
      <c r="Q387" s="38"/>
      <c r="R387" s="38"/>
    </row>
    <row r="388" spans="1:18" s="75" customFormat="1" x14ac:dyDescent="0.2">
      <c r="A388" s="26"/>
      <c r="B388" s="74"/>
      <c r="C388" s="157"/>
      <c r="D388" s="157"/>
      <c r="E388" s="157"/>
      <c r="F388" s="157"/>
      <c r="G388" s="224"/>
      <c r="H388" s="157"/>
      <c r="I388" s="157"/>
      <c r="J388" s="157"/>
      <c r="K388" s="157"/>
      <c r="L388" s="38"/>
      <c r="M388" s="38"/>
      <c r="N388" s="38"/>
      <c r="O388" s="38"/>
      <c r="P388" s="38"/>
      <c r="Q388" s="38"/>
      <c r="R388" s="38"/>
    </row>
    <row r="389" spans="1:18" s="75" customFormat="1" x14ac:dyDescent="0.2">
      <c r="A389" s="26"/>
      <c r="B389" s="74"/>
      <c r="C389" s="157"/>
      <c r="D389" s="157"/>
      <c r="E389" s="157"/>
      <c r="F389" s="157"/>
      <c r="G389" s="224"/>
      <c r="H389" s="157"/>
      <c r="I389" s="157"/>
      <c r="J389" s="157"/>
      <c r="K389" s="157"/>
      <c r="L389" s="38"/>
      <c r="M389" s="38"/>
      <c r="N389" s="38"/>
      <c r="O389" s="38"/>
      <c r="P389" s="38"/>
      <c r="Q389" s="38"/>
      <c r="R389" s="38"/>
    </row>
    <row r="390" spans="1:18" s="75" customFormat="1" x14ac:dyDescent="0.2">
      <c r="A390" s="26"/>
      <c r="B390" s="74"/>
      <c r="C390" s="157"/>
      <c r="D390" s="157"/>
      <c r="E390" s="157"/>
      <c r="F390" s="157"/>
      <c r="G390" s="224"/>
      <c r="H390" s="157"/>
      <c r="I390" s="157"/>
      <c r="J390" s="157"/>
      <c r="K390" s="157"/>
      <c r="L390" s="38"/>
      <c r="M390" s="38"/>
      <c r="N390" s="38"/>
      <c r="O390" s="38"/>
      <c r="P390" s="38"/>
      <c r="Q390" s="38"/>
      <c r="R390" s="38"/>
    </row>
    <row r="391" spans="1:18" s="75" customFormat="1" x14ac:dyDescent="0.2">
      <c r="A391" s="26"/>
      <c r="B391" s="74"/>
      <c r="C391" s="157"/>
      <c r="D391" s="157"/>
      <c r="E391" s="157"/>
      <c r="F391" s="157"/>
      <c r="G391" s="224"/>
      <c r="H391" s="157"/>
      <c r="I391" s="157"/>
      <c r="J391" s="157"/>
      <c r="K391" s="157"/>
      <c r="L391" s="38"/>
      <c r="M391" s="38"/>
      <c r="N391" s="38"/>
      <c r="O391" s="38"/>
      <c r="P391" s="38"/>
      <c r="Q391" s="38"/>
      <c r="R391" s="38"/>
    </row>
    <row r="392" spans="1:18" s="75" customFormat="1" x14ac:dyDescent="0.2">
      <c r="A392" s="26"/>
      <c r="B392" s="74"/>
      <c r="C392" s="157"/>
      <c r="D392" s="157"/>
      <c r="E392" s="157"/>
      <c r="F392" s="157"/>
      <c r="G392" s="224"/>
      <c r="H392" s="157"/>
      <c r="I392" s="157"/>
      <c r="J392" s="157"/>
      <c r="K392" s="157"/>
      <c r="L392" s="38"/>
      <c r="M392" s="38"/>
      <c r="N392" s="38"/>
      <c r="O392" s="38"/>
      <c r="P392" s="38"/>
      <c r="Q392" s="38"/>
      <c r="R392" s="38"/>
    </row>
    <row r="393" spans="1:18" s="75" customFormat="1" x14ac:dyDescent="0.2">
      <c r="A393" s="26"/>
      <c r="B393" s="74"/>
      <c r="C393" s="157"/>
      <c r="D393" s="157"/>
      <c r="E393" s="157"/>
      <c r="F393" s="157"/>
      <c r="G393" s="224"/>
      <c r="H393" s="157"/>
      <c r="I393" s="157"/>
      <c r="J393" s="157"/>
      <c r="K393" s="157"/>
      <c r="L393" s="38"/>
      <c r="M393" s="38"/>
      <c r="N393" s="38"/>
      <c r="O393" s="38"/>
      <c r="P393" s="38"/>
      <c r="Q393" s="38"/>
      <c r="R393" s="38"/>
    </row>
    <row r="394" spans="1:18" s="75" customFormat="1" x14ac:dyDescent="0.2">
      <c r="A394" s="26"/>
      <c r="B394" s="74"/>
      <c r="C394" s="157"/>
      <c r="D394" s="157"/>
      <c r="E394" s="157"/>
      <c r="F394" s="157"/>
      <c r="G394" s="224"/>
      <c r="H394" s="157"/>
      <c r="I394" s="157"/>
      <c r="J394" s="157"/>
      <c r="K394" s="157"/>
      <c r="L394" s="38"/>
      <c r="M394" s="38"/>
      <c r="N394" s="38"/>
      <c r="O394" s="38"/>
      <c r="P394" s="38"/>
      <c r="Q394" s="38"/>
      <c r="R394" s="38"/>
    </row>
    <row r="395" spans="1:18" s="75" customFormat="1" x14ac:dyDescent="0.2">
      <c r="A395" s="26"/>
      <c r="B395" s="74"/>
      <c r="C395" s="157"/>
      <c r="D395" s="157"/>
      <c r="E395" s="157"/>
      <c r="F395" s="157"/>
      <c r="G395" s="224"/>
      <c r="H395" s="157"/>
      <c r="I395" s="157"/>
      <c r="J395" s="157"/>
      <c r="K395" s="157"/>
      <c r="L395" s="38"/>
      <c r="M395" s="38"/>
      <c r="N395" s="38"/>
      <c r="O395" s="38"/>
      <c r="P395" s="38"/>
      <c r="Q395" s="38"/>
      <c r="R395" s="38"/>
    </row>
    <row r="396" spans="1:18" s="75" customFormat="1" x14ac:dyDescent="0.2">
      <c r="A396" s="26"/>
      <c r="B396" s="74"/>
      <c r="C396" s="157"/>
      <c r="D396" s="157"/>
      <c r="E396" s="157"/>
      <c r="F396" s="157"/>
      <c r="G396" s="224"/>
      <c r="H396" s="157"/>
      <c r="I396" s="157"/>
      <c r="J396" s="157"/>
      <c r="K396" s="157"/>
      <c r="L396" s="38"/>
      <c r="M396" s="38"/>
      <c r="N396" s="38"/>
      <c r="O396" s="38"/>
      <c r="P396" s="38"/>
      <c r="Q396" s="38"/>
      <c r="R396" s="38"/>
    </row>
    <row r="397" spans="1:18" s="75" customFormat="1" x14ac:dyDescent="0.2">
      <c r="A397" s="26"/>
      <c r="B397" s="74"/>
      <c r="C397" s="157"/>
      <c r="D397" s="157"/>
      <c r="E397" s="157"/>
      <c r="F397" s="157"/>
      <c r="G397" s="224"/>
      <c r="H397" s="157"/>
      <c r="I397" s="157"/>
      <c r="J397" s="157"/>
      <c r="K397" s="157"/>
      <c r="L397" s="38"/>
      <c r="M397" s="38"/>
      <c r="N397" s="38"/>
      <c r="O397" s="38"/>
      <c r="P397" s="38"/>
      <c r="Q397" s="38"/>
      <c r="R397" s="38"/>
    </row>
    <row r="398" spans="1:18" s="75" customFormat="1" x14ac:dyDescent="0.2">
      <c r="A398" s="26"/>
      <c r="B398" s="74"/>
      <c r="C398" s="157"/>
      <c r="D398" s="157"/>
      <c r="E398" s="157"/>
      <c r="F398" s="157"/>
      <c r="G398" s="224"/>
      <c r="H398" s="157"/>
      <c r="I398" s="157"/>
      <c r="J398" s="157"/>
      <c r="K398" s="157"/>
      <c r="L398" s="38"/>
      <c r="M398" s="38"/>
      <c r="N398" s="38"/>
      <c r="O398" s="38"/>
      <c r="P398" s="38"/>
      <c r="Q398" s="38"/>
      <c r="R398" s="38"/>
    </row>
    <row r="399" spans="1:18" s="75" customFormat="1" x14ac:dyDescent="0.2">
      <c r="A399" s="26"/>
      <c r="B399" s="74"/>
      <c r="C399" s="157"/>
      <c r="D399" s="157"/>
      <c r="E399" s="157"/>
      <c r="F399" s="157"/>
      <c r="G399" s="224"/>
      <c r="H399" s="157"/>
      <c r="I399" s="157"/>
      <c r="J399" s="157"/>
      <c r="K399" s="157"/>
      <c r="L399" s="38"/>
      <c r="M399" s="38"/>
      <c r="N399" s="38"/>
      <c r="O399" s="38"/>
      <c r="P399" s="38"/>
      <c r="Q399" s="38"/>
      <c r="R399" s="38"/>
    </row>
    <row r="400" spans="1:18" s="75" customFormat="1" x14ac:dyDescent="0.2">
      <c r="A400" s="26"/>
      <c r="B400" s="74"/>
      <c r="C400" s="157"/>
      <c r="D400" s="157"/>
      <c r="E400" s="157"/>
      <c r="F400" s="157"/>
      <c r="G400" s="224"/>
      <c r="H400" s="157"/>
      <c r="I400" s="157"/>
      <c r="J400" s="157"/>
      <c r="K400" s="157"/>
      <c r="L400" s="38"/>
      <c r="M400" s="38"/>
      <c r="N400" s="38"/>
      <c r="O400" s="38"/>
      <c r="P400" s="38"/>
      <c r="Q400" s="38"/>
      <c r="R400" s="38"/>
    </row>
    <row r="401" spans="1:18" s="75" customFormat="1" x14ac:dyDescent="0.2">
      <c r="A401" s="26"/>
      <c r="B401" s="74"/>
      <c r="C401" s="157"/>
      <c r="D401" s="157"/>
      <c r="E401" s="157"/>
      <c r="F401" s="157"/>
      <c r="G401" s="224"/>
      <c r="H401" s="157"/>
      <c r="I401" s="157"/>
      <c r="J401" s="157"/>
      <c r="K401" s="157"/>
      <c r="L401" s="38"/>
      <c r="M401" s="38"/>
      <c r="N401" s="38"/>
      <c r="O401" s="38"/>
      <c r="P401" s="38"/>
      <c r="Q401" s="38"/>
      <c r="R401" s="38"/>
    </row>
    <row r="402" spans="1:18" s="75" customFormat="1" x14ac:dyDescent="0.2">
      <c r="A402" s="26"/>
      <c r="B402" s="74"/>
      <c r="C402" s="157"/>
      <c r="D402" s="157"/>
      <c r="E402" s="157"/>
      <c r="F402" s="157"/>
      <c r="G402" s="224"/>
      <c r="H402" s="157"/>
      <c r="I402" s="157"/>
      <c r="J402" s="157"/>
      <c r="K402" s="157"/>
      <c r="L402" s="38"/>
      <c r="M402" s="38"/>
      <c r="N402" s="38"/>
      <c r="O402" s="38"/>
      <c r="P402" s="38"/>
      <c r="Q402" s="38"/>
      <c r="R402" s="38"/>
    </row>
    <row r="403" spans="1:18" s="75" customFormat="1" x14ac:dyDescent="0.2">
      <c r="A403" s="26"/>
      <c r="B403" s="74"/>
      <c r="C403" s="157"/>
      <c r="D403" s="157"/>
      <c r="E403" s="157"/>
      <c r="F403" s="157"/>
      <c r="G403" s="224"/>
      <c r="H403" s="157"/>
      <c r="I403" s="157"/>
      <c r="J403" s="157"/>
      <c r="K403" s="157"/>
      <c r="L403" s="38"/>
      <c r="M403" s="38"/>
      <c r="N403" s="38"/>
      <c r="O403" s="38"/>
      <c r="P403" s="38"/>
      <c r="Q403" s="38"/>
      <c r="R403" s="38"/>
    </row>
    <row r="404" spans="1:18" s="75" customFormat="1" x14ac:dyDescent="0.2">
      <c r="A404" s="26"/>
      <c r="B404" s="74"/>
      <c r="C404" s="157"/>
      <c r="D404" s="157"/>
      <c r="E404" s="157"/>
      <c r="F404" s="157"/>
      <c r="G404" s="224"/>
      <c r="H404" s="157"/>
      <c r="I404" s="157"/>
      <c r="J404" s="157"/>
      <c r="K404" s="157"/>
      <c r="L404" s="38"/>
      <c r="M404" s="38"/>
      <c r="N404" s="38"/>
      <c r="O404" s="38"/>
      <c r="P404" s="38"/>
      <c r="Q404" s="38"/>
      <c r="R404" s="38"/>
    </row>
    <row r="405" spans="1:18" s="75" customFormat="1" x14ac:dyDescent="0.2">
      <c r="A405" s="26"/>
      <c r="B405" s="74"/>
      <c r="C405" s="157"/>
      <c r="D405" s="157"/>
      <c r="E405" s="157"/>
      <c r="F405" s="157"/>
      <c r="G405" s="224"/>
      <c r="H405" s="157"/>
      <c r="I405" s="157"/>
      <c r="J405" s="157"/>
      <c r="K405" s="157"/>
      <c r="L405" s="38"/>
      <c r="M405" s="38"/>
      <c r="N405" s="38"/>
      <c r="O405" s="38"/>
      <c r="P405" s="38"/>
      <c r="Q405" s="38"/>
      <c r="R405" s="38"/>
    </row>
    <row r="406" spans="1:18" s="75" customFormat="1" x14ac:dyDescent="0.2">
      <c r="A406" s="26"/>
      <c r="B406" s="74"/>
      <c r="C406" s="157"/>
      <c r="D406" s="157"/>
      <c r="E406" s="157"/>
      <c r="F406" s="157"/>
      <c r="G406" s="224"/>
      <c r="H406" s="157"/>
      <c r="I406" s="157"/>
      <c r="J406" s="157"/>
      <c r="K406" s="157"/>
      <c r="L406" s="38"/>
      <c r="M406" s="38"/>
      <c r="N406" s="38"/>
      <c r="O406" s="38"/>
      <c r="P406" s="38"/>
      <c r="Q406" s="38"/>
      <c r="R406" s="38"/>
    </row>
    <row r="407" spans="1:18" s="75" customFormat="1" x14ac:dyDescent="0.2">
      <c r="A407" s="26"/>
      <c r="B407" s="74"/>
      <c r="C407" s="157"/>
      <c r="D407" s="157"/>
      <c r="E407" s="157"/>
      <c r="F407" s="157"/>
      <c r="G407" s="224"/>
      <c r="H407" s="157"/>
      <c r="I407" s="157"/>
      <c r="J407" s="157"/>
      <c r="K407" s="157"/>
      <c r="L407" s="38"/>
      <c r="M407" s="38"/>
      <c r="N407" s="38"/>
      <c r="O407" s="38"/>
      <c r="P407" s="38"/>
      <c r="Q407" s="38"/>
      <c r="R407" s="38"/>
    </row>
    <row r="408" spans="1:18" s="75" customFormat="1" x14ac:dyDescent="0.2">
      <c r="A408" s="26"/>
      <c r="B408" s="74"/>
      <c r="C408" s="157"/>
      <c r="D408" s="157"/>
      <c r="E408" s="157"/>
      <c r="F408" s="157"/>
      <c r="G408" s="224"/>
      <c r="H408" s="157"/>
      <c r="I408" s="157"/>
      <c r="J408" s="157"/>
      <c r="K408" s="157"/>
      <c r="L408" s="38"/>
      <c r="M408" s="38"/>
      <c r="N408" s="38"/>
      <c r="O408" s="38"/>
      <c r="P408" s="38"/>
      <c r="Q408" s="38"/>
      <c r="R408" s="38"/>
    </row>
    <row r="409" spans="1:18" s="75" customFormat="1" x14ac:dyDescent="0.2">
      <c r="A409" s="26"/>
      <c r="B409" s="74"/>
      <c r="C409" s="157"/>
      <c r="D409" s="157"/>
      <c r="E409" s="157"/>
      <c r="F409" s="157"/>
      <c r="G409" s="224"/>
      <c r="H409" s="157"/>
      <c r="I409" s="157"/>
      <c r="J409" s="157"/>
      <c r="K409" s="157"/>
      <c r="L409" s="38"/>
      <c r="M409" s="38"/>
      <c r="N409" s="38"/>
      <c r="O409" s="38"/>
      <c r="P409" s="38"/>
      <c r="Q409" s="38"/>
      <c r="R409" s="38"/>
    </row>
    <row r="410" spans="1:18" s="75" customFormat="1" x14ac:dyDescent="0.2">
      <c r="A410" s="26"/>
      <c r="B410" s="74"/>
      <c r="C410" s="157"/>
      <c r="D410" s="157"/>
      <c r="E410" s="157"/>
      <c r="F410" s="157"/>
      <c r="G410" s="224"/>
      <c r="H410" s="157"/>
      <c r="I410" s="157"/>
      <c r="J410" s="157"/>
      <c r="K410" s="157"/>
      <c r="L410" s="38"/>
      <c r="M410" s="38"/>
      <c r="N410" s="38"/>
      <c r="O410" s="38"/>
      <c r="P410" s="38"/>
      <c r="Q410" s="38"/>
      <c r="R410" s="38"/>
    </row>
    <row r="411" spans="1:18" s="75" customFormat="1" x14ac:dyDescent="0.2">
      <c r="A411" s="26"/>
      <c r="B411" s="74"/>
      <c r="C411" s="157"/>
      <c r="D411" s="157"/>
      <c r="E411" s="157"/>
      <c r="F411" s="157"/>
      <c r="G411" s="224"/>
      <c r="H411" s="157"/>
      <c r="I411" s="157"/>
      <c r="J411" s="157"/>
      <c r="K411" s="157"/>
      <c r="L411" s="38"/>
      <c r="M411" s="38"/>
      <c r="N411" s="38"/>
      <c r="O411" s="38"/>
      <c r="P411" s="38"/>
      <c r="Q411" s="38"/>
      <c r="R411" s="38"/>
    </row>
    <row r="412" spans="1:18" s="75" customFormat="1" x14ac:dyDescent="0.2">
      <c r="A412" s="26"/>
      <c r="B412" s="74"/>
      <c r="C412" s="157"/>
      <c r="D412" s="157"/>
      <c r="E412" s="157"/>
      <c r="F412" s="157"/>
      <c r="G412" s="224"/>
      <c r="H412" s="157"/>
      <c r="I412" s="157"/>
      <c r="J412" s="157"/>
      <c r="K412" s="157"/>
      <c r="L412" s="38"/>
      <c r="M412" s="38"/>
      <c r="N412" s="38"/>
      <c r="O412" s="38"/>
      <c r="P412" s="38"/>
      <c r="Q412" s="38"/>
      <c r="R412" s="38"/>
    </row>
    <row r="413" spans="1:18" s="75" customFormat="1" x14ac:dyDescent="0.2">
      <c r="A413" s="26"/>
      <c r="B413" s="74"/>
      <c r="C413" s="157"/>
      <c r="D413" s="157"/>
      <c r="E413" s="157"/>
      <c r="F413" s="157"/>
      <c r="G413" s="224"/>
      <c r="H413" s="157"/>
      <c r="I413" s="157"/>
      <c r="J413" s="157"/>
      <c r="K413" s="157"/>
      <c r="L413" s="38"/>
      <c r="M413" s="38"/>
      <c r="N413" s="38"/>
      <c r="O413" s="38"/>
      <c r="P413" s="38"/>
      <c r="Q413" s="38"/>
      <c r="R413" s="38"/>
    </row>
    <row r="414" spans="1:18" s="75" customFormat="1" x14ac:dyDescent="0.2">
      <c r="A414" s="26"/>
      <c r="B414" s="74"/>
      <c r="C414" s="157"/>
      <c r="D414" s="157"/>
      <c r="E414" s="157"/>
      <c r="F414" s="157"/>
      <c r="G414" s="224"/>
      <c r="H414" s="157"/>
      <c r="I414" s="157"/>
      <c r="J414" s="157"/>
      <c r="K414" s="157"/>
      <c r="L414" s="38"/>
      <c r="M414" s="38"/>
      <c r="N414" s="38"/>
      <c r="O414" s="38"/>
      <c r="P414" s="38"/>
      <c r="Q414" s="38"/>
      <c r="R414" s="38"/>
    </row>
    <row r="415" spans="1:18" s="75" customFormat="1" x14ac:dyDescent="0.2">
      <c r="A415" s="26"/>
      <c r="B415" s="74"/>
      <c r="C415" s="157"/>
      <c r="D415" s="157"/>
      <c r="E415" s="157"/>
      <c r="F415" s="157"/>
      <c r="G415" s="224"/>
      <c r="H415" s="157"/>
      <c r="I415" s="157"/>
      <c r="J415" s="157"/>
      <c r="K415" s="157"/>
      <c r="L415" s="38"/>
      <c r="M415" s="38"/>
      <c r="N415" s="38"/>
      <c r="O415" s="38"/>
      <c r="P415" s="38"/>
      <c r="Q415" s="38"/>
      <c r="R415" s="38"/>
    </row>
    <row r="416" spans="1:18" s="75" customFormat="1" x14ac:dyDescent="0.2">
      <c r="A416" s="26"/>
      <c r="B416" s="74"/>
      <c r="C416" s="157"/>
      <c r="D416" s="157"/>
      <c r="E416" s="157"/>
      <c r="F416" s="157"/>
      <c r="G416" s="224"/>
      <c r="H416" s="157"/>
      <c r="I416" s="157"/>
      <c r="J416" s="157"/>
      <c r="K416" s="157"/>
      <c r="L416" s="38"/>
      <c r="M416" s="38"/>
      <c r="N416" s="38"/>
      <c r="O416" s="38"/>
      <c r="P416" s="38"/>
      <c r="Q416" s="38"/>
      <c r="R416" s="38"/>
    </row>
    <row r="417" spans="1:18" s="75" customFormat="1" x14ac:dyDescent="0.2">
      <c r="A417" s="26"/>
      <c r="B417" s="74"/>
      <c r="C417" s="157"/>
      <c r="D417" s="157"/>
      <c r="E417" s="157"/>
      <c r="F417" s="157"/>
      <c r="G417" s="224"/>
      <c r="H417" s="157"/>
      <c r="I417" s="157"/>
      <c r="J417" s="157"/>
      <c r="K417" s="157"/>
      <c r="L417" s="38"/>
      <c r="M417" s="38"/>
      <c r="N417" s="38"/>
      <c r="O417" s="38"/>
      <c r="P417" s="38"/>
      <c r="Q417" s="38"/>
      <c r="R417" s="38"/>
    </row>
    <row r="418" spans="1:18" s="75" customFormat="1" x14ac:dyDescent="0.2">
      <c r="A418" s="26"/>
      <c r="B418" s="74"/>
      <c r="C418" s="157"/>
      <c r="D418" s="157"/>
      <c r="E418" s="157"/>
      <c r="F418" s="157"/>
      <c r="G418" s="224"/>
      <c r="H418" s="157"/>
      <c r="I418" s="157"/>
      <c r="J418" s="157"/>
      <c r="K418" s="157"/>
      <c r="L418" s="38"/>
      <c r="M418" s="38"/>
      <c r="N418" s="38"/>
      <c r="O418" s="38"/>
      <c r="P418" s="38"/>
      <c r="Q418" s="38"/>
      <c r="R418" s="38"/>
    </row>
    <row r="419" spans="1:18" s="75" customFormat="1" x14ac:dyDescent="0.2">
      <c r="A419" s="26"/>
      <c r="B419" s="74"/>
      <c r="C419" s="157"/>
      <c r="D419" s="157"/>
      <c r="E419" s="157"/>
      <c r="F419" s="157"/>
      <c r="G419" s="224"/>
      <c r="H419" s="157"/>
      <c r="I419" s="157"/>
      <c r="J419" s="157"/>
      <c r="K419" s="157"/>
      <c r="L419" s="38"/>
      <c r="M419" s="38"/>
      <c r="N419" s="38"/>
      <c r="O419" s="38"/>
      <c r="P419" s="38"/>
      <c r="Q419" s="38"/>
      <c r="R419" s="38"/>
    </row>
    <row r="420" spans="1:18" s="75" customFormat="1" x14ac:dyDescent="0.2">
      <c r="A420" s="26"/>
      <c r="B420" s="74"/>
      <c r="C420" s="157"/>
      <c r="D420" s="157"/>
      <c r="E420" s="157"/>
      <c r="F420" s="157"/>
      <c r="G420" s="224"/>
      <c r="H420" s="157"/>
      <c r="I420" s="157"/>
      <c r="J420" s="157"/>
      <c r="K420" s="157"/>
      <c r="L420" s="38"/>
      <c r="M420" s="38"/>
      <c r="N420" s="38"/>
      <c r="O420" s="38"/>
      <c r="P420" s="38"/>
      <c r="Q420" s="38"/>
      <c r="R420" s="38"/>
    </row>
    <row r="421" spans="1:18" s="75" customFormat="1" x14ac:dyDescent="0.2">
      <c r="A421" s="26"/>
      <c r="B421" s="74"/>
      <c r="C421" s="157"/>
      <c r="D421" s="157"/>
      <c r="E421" s="157"/>
      <c r="F421" s="157"/>
      <c r="G421" s="224"/>
      <c r="H421" s="157"/>
      <c r="I421" s="157"/>
      <c r="J421" s="157"/>
      <c r="K421" s="157"/>
      <c r="L421" s="38"/>
      <c r="M421" s="38"/>
      <c r="N421" s="38"/>
      <c r="O421" s="38"/>
      <c r="P421" s="38"/>
      <c r="Q421" s="38"/>
      <c r="R421" s="38"/>
    </row>
    <row r="422" spans="1:18" s="75" customFormat="1" x14ac:dyDescent="0.2">
      <c r="A422" s="26"/>
      <c r="B422" s="74"/>
      <c r="C422" s="157"/>
      <c r="D422" s="157"/>
      <c r="E422" s="157"/>
      <c r="F422" s="157"/>
      <c r="G422" s="224"/>
      <c r="H422" s="157"/>
      <c r="I422" s="157"/>
      <c r="J422" s="157"/>
      <c r="K422" s="157"/>
      <c r="L422" s="38"/>
      <c r="M422" s="38"/>
      <c r="N422" s="38"/>
      <c r="O422" s="38"/>
      <c r="P422" s="38"/>
      <c r="Q422" s="38"/>
      <c r="R422" s="38"/>
    </row>
    <row r="423" spans="1:18" s="75" customFormat="1" x14ac:dyDescent="0.2">
      <c r="A423" s="26"/>
      <c r="B423" s="74"/>
      <c r="C423" s="157"/>
      <c r="D423" s="157"/>
      <c r="E423" s="157"/>
      <c r="F423" s="157"/>
      <c r="G423" s="224"/>
      <c r="H423" s="157"/>
      <c r="I423" s="157"/>
      <c r="J423" s="157"/>
      <c r="K423" s="157"/>
      <c r="L423" s="38"/>
      <c r="M423" s="38"/>
      <c r="N423" s="38"/>
      <c r="O423" s="38"/>
      <c r="P423" s="38"/>
      <c r="Q423" s="38"/>
      <c r="R423" s="38"/>
    </row>
    <row r="424" spans="1:18" s="75" customFormat="1" x14ac:dyDescent="0.2">
      <c r="A424" s="26"/>
      <c r="B424" s="74"/>
      <c r="C424" s="157"/>
      <c r="D424" s="157"/>
      <c r="E424" s="157"/>
      <c r="F424" s="157"/>
      <c r="G424" s="224"/>
      <c r="H424" s="157"/>
      <c r="I424" s="157"/>
      <c r="J424" s="157"/>
      <c r="K424" s="157"/>
      <c r="L424" s="38"/>
      <c r="M424" s="38"/>
      <c r="N424" s="38"/>
      <c r="O424" s="38"/>
      <c r="P424" s="38"/>
      <c r="Q424" s="38"/>
      <c r="R424" s="38"/>
    </row>
    <row r="425" spans="1:18" s="75" customFormat="1" x14ac:dyDescent="0.2">
      <c r="A425" s="26"/>
      <c r="B425" s="74"/>
      <c r="C425" s="157"/>
      <c r="D425" s="157"/>
      <c r="E425" s="157"/>
      <c r="F425" s="157"/>
      <c r="G425" s="224"/>
      <c r="H425" s="157"/>
      <c r="I425" s="157"/>
      <c r="J425" s="157"/>
      <c r="K425" s="157"/>
      <c r="L425" s="38"/>
      <c r="M425" s="38"/>
      <c r="N425" s="38"/>
      <c r="O425" s="38"/>
      <c r="P425" s="38"/>
      <c r="Q425" s="38"/>
      <c r="R425" s="38"/>
    </row>
    <row r="426" spans="1:18" s="75" customFormat="1" x14ac:dyDescent="0.2">
      <c r="A426" s="26"/>
      <c r="B426" s="74"/>
      <c r="C426" s="157"/>
      <c r="D426" s="157"/>
      <c r="E426" s="157"/>
      <c r="F426" s="157"/>
      <c r="G426" s="224"/>
      <c r="H426" s="157"/>
      <c r="I426" s="157"/>
      <c r="J426" s="157"/>
      <c r="K426" s="157"/>
      <c r="L426" s="38"/>
      <c r="M426" s="38"/>
      <c r="N426" s="38"/>
      <c r="O426" s="38"/>
      <c r="P426" s="38"/>
      <c r="Q426" s="38"/>
      <c r="R426" s="38"/>
    </row>
    <row r="427" spans="1:18" s="75" customFormat="1" x14ac:dyDescent="0.2">
      <c r="A427" s="26"/>
      <c r="B427" s="74"/>
      <c r="C427" s="157"/>
      <c r="D427" s="157"/>
      <c r="E427" s="157"/>
      <c r="F427" s="157"/>
      <c r="G427" s="224"/>
      <c r="H427" s="157"/>
      <c r="I427" s="157"/>
      <c r="J427" s="157"/>
      <c r="K427" s="157"/>
      <c r="L427" s="38"/>
      <c r="M427" s="38"/>
      <c r="N427" s="38"/>
      <c r="O427" s="38"/>
      <c r="P427" s="38"/>
      <c r="Q427" s="38"/>
      <c r="R427" s="38"/>
    </row>
    <row r="428" spans="1:18" s="75" customFormat="1" x14ac:dyDescent="0.2">
      <c r="A428" s="26"/>
      <c r="B428" s="74"/>
      <c r="C428" s="157"/>
      <c r="D428" s="157"/>
      <c r="E428" s="157"/>
      <c r="F428" s="157"/>
      <c r="G428" s="224"/>
      <c r="H428" s="157"/>
      <c r="I428" s="157"/>
      <c r="J428" s="157"/>
      <c r="K428" s="157"/>
      <c r="L428" s="38"/>
      <c r="M428" s="38"/>
      <c r="N428" s="38"/>
      <c r="O428" s="38"/>
      <c r="P428" s="38"/>
      <c r="Q428" s="38"/>
      <c r="R428" s="38"/>
    </row>
    <row r="429" spans="1:18" s="75" customFormat="1" x14ac:dyDescent="0.2">
      <c r="A429" s="26"/>
      <c r="B429" s="74"/>
      <c r="C429" s="157"/>
      <c r="D429" s="157"/>
      <c r="E429" s="157"/>
      <c r="F429" s="157"/>
      <c r="G429" s="224"/>
      <c r="H429" s="157"/>
      <c r="I429" s="157"/>
      <c r="J429" s="157"/>
      <c r="K429" s="157"/>
      <c r="L429" s="38"/>
      <c r="M429" s="38"/>
      <c r="N429" s="38"/>
      <c r="O429" s="38"/>
      <c r="P429" s="38"/>
      <c r="Q429" s="38"/>
      <c r="R429" s="38"/>
    </row>
    <row r="430" spans="1:18" s="75" customFormat="1" x14ac:dyDescent="0.2">
      <c r="A430" s="26"/>
      <c r="B430" s="74"/>
      <c r="C430" s="157"/>
      <c r="D430" s="157"/>
      <c r="E430" s="157"/>
      <c r="F430" s="157"/>
      <c r="G430" s="224"/>
      <c r="H430" s="157"/>
      <c r="I430" s="157"/>
      <c r="J430" s="157"/>
      <c r="K430" s="157"/>
      <c r="L430" s="38"/>
      <c r="M430" s="38"/>
      <c r="N430" s="38"/>
      <c r="O430" s="38"/>
      <c r="P430" s="38"/>
      <c r="Q430" s="38"/>
      <c r="R430" s="38"/>
    </row>
    <row r="431" spans="1:18" s="75" customFormat="1" x14ac:dyDescent="0.2">
      <c r="A431" s="26"/>
      <c r="B431" s="74"/>
      <c r="C431" s="157"/>
      <c r="D431" s="157"/>
      <c r="E431" s="157"/>
      <c r="F431" s="157"/>
      <c r="G431" s="224"/>
      <c r="H431" s="157"/>
      <c r="I431" s="157"/>
      <c r="J431" s="157"/>
      <c r="K431" s="157"/>
      <c r="L431" s="38"/>
      <c r="M431" s="38"/>
      <c r="N431" s="38"/>
      <c r="O431" s="38"/>
      <c r="P431" s="38"/>
      <c r="Q431" s="38"/>
      <c r="R431" s="38"/>
    </row>
    <row r="432" spans="1:18" s="75" customFormat="1" x14ac:dyDescent="0.2">
      <c r="A432" s="26"/>
      <c r="B432" s="74"/>
      <c r="C432" s="157"/>
      <c r="D432" s="157"/>
      <c r="E432" s="157"/>
      <c r="F432" s="157"/>
      <c r="G432" s="224"/>
      <c r="H432" s="157"/>
      <c r="I432" s="157"/>
      <c r="J432" s="157"/>
      <c r="K432" s="157"/>
      <c r="L432" s="38"/>
      <c r="M432" s="38"/>
      <c r="N432" s="38"/>
      <c r="O432" s="38"/>
      <c r="P432" s="38"/>
      <c r="Q432" s="38"/>
      <c r="R432" s="38"/>
    </row>
    <row r="433" spans="1:18" s="75" customFormat="1" x14ac:dyDescent="0.2">
      <c r="A433" s="26"/>
      <c r="B433" s="74"/>
      <c r="C433" s="157"/>
      <c r="D433" s="157"/>
      <c r="E433" s="157"/>
      <c r="F433" s="157"/>
      <c r="G433" s="224"/>
      <c r="H433" s="157"/>
      <c r="I433" s="157"/>
      <c r="J433" s="157"/>
      <c r="K433" s="157"/>
      <c r="L433" s="38"/>
      <c r="M433" s="38"/>
      <c r="N433" s="38"/>
      <c r="O433" s="38"/>
      <c r="P433" s="38"/>
      <c r="Q433" s="38"/>
      <c r="R433" s="38"/>
    </row>
    <row r="434" spans="1:18" s="75" customFormat="1" x14ac:dyDescent="0.2">
      <c r="A434" s="26"/>
      <c r="B434" s="37"/>
      <c r="C434" s="157"/>
      <c r="D434" s="157"/>
      <c r="E434" s="157"/>
      <c r="F434" s="157"/>
      <c r="G434" s="224"/>
      <c r="H434" s="157"/>
      <c r="I434" s="157"/>
      <c r="J434" s="157"/>
      <c r="K434" s="157"/>
      <c r="L434" s="38"/>
      <c r="M434" s="38"/>
      <c r="N434" s="38"/>
      <c r="O434" s="38"/>
      <c r="P434" s="38"/>
      <c r="Q434" s="38"/>
      <c r="R434" s="38"/>
    </row>
    <row r="435" spans="1:18" s="75" customFormat="1" x14ac:dyDescent="0.2">
      <c r="A435" s="26"/>
      <c r="B435" s="37"/>
      <c r="C435" s="157"/>
      <c r="D435" s="157"/>
      <c r="E435" s="157"/>
      <c r="F435" s="157"/>
      <c r="G435" s="224"/>
      <c r="H435" s="157"/>
      <c r="I435" s="157"/>
      <c r="J435" s="157"/>
      <c r="K435" s="157"/>
      <c r="L435" s="38"/>
      <c r="M435" s="38"/>
      <c r="N435" s="38"/>
      <c r="O435" s="38"/>
      <c r="P435" s="38"/>
      <c r="Q435" s="38"/>
      <c r="R435" s="38"/>
    </row>
    <row r="436" spans="1:18" s="75" customFormat="1" x14ac:dyDescent="0.2">
      <c r="A436" s="26"/>
      <c r="B436" s="37"/>
      <c r="C436" s="157"/>
      <c r="D436" s="157"/>
      <c r="E436" s="157"/>
      <c r="F436" s="157"/>
      <c r="G436" s="224"/>
      <c r="H436" s="157"/>
      <c r="I436" s="157"/>
      <c r="J436" s="157"/>
      <c r="K436" s="157"/>
      <c r="L436" s="38"/>
      <c r="M436" s="38"/>
      <c r="N436" s="38"/>
      <c r="O436" s="38"/>
      <c r="P436" s="38"/>
      <c r="Q436" s="38"/>
      <c r="R436" s="38"/>
    </row>
    <row r="437" spans="1:18" s="75" customFormat="1" x14ac:dyDescent="0.2">
      <c r="A437" s="26"/>
      <c r="B437" s="37"/>
      <c r="C437" s="157"/>
      <c r="D437" s="157"/>
      <c r="E437" s="157"/>
      <c r="F437" s="157"/>
      <c r="G437" s="224"/>
      <c r="H437" s="157"/>
      <c r="I437" s="157"/>
      <c r="J437" s="157"/>
      <c r="K437" s="157"/>
      <c r="L437" s="38"/>
      <c r="M437" s="38"/>
      <c r="N437" s="38"/>
      <c r="O437" s="38"/>
      <c r="P437" s="38"/>
      <c r="Q437" s="38"/>
      <c r="R437" s="38"/>
    </row>
    <row r="438" spans="1:18" s="75" customFormat="1" x14ac:dyDescent="0.2">
      <c r="A438" s="26"/>
      <c r="B438" s="37"/>
      <c r="C438" s="157"/>
      <c r="D438" s="157"/>
      <c r="E438" s="157"/>
      <c r="F438" s="157"/>
      <c r="G438" s="224"/>
      <c r="H438" s="157"/>
      <c r="I438" s="157"/>
      <c r="J438" s="157"/>
      <c r="K438" s="157"/>
      <c r="L438" s="38"/>
      <c r="M438" s="38"/>
      <c r="N438" s="38"/>
      <c r="O438" s="38"/>
      <c r="P438" s="38"/>
      <c r="Q438" s="38"/>
      <c r="R438" s="38"/>
    </row>
    <row r="439" spans="1:18" s="75" customFormat="1" x14ac:dyDescent="0.2">
      <c r="A439" s="26"/>
      <c r="B439" s="37"/>
      <c r="C439" s="157"/>
      <c r="D439" s="157"/>
      <c r="E439" s="157"/>
      <c r="F439" s="157"/>
      <c r="G439" s="224"/>
      <c r="H439" s="157"/>
      <c r="I439" s="157"/>
      <c r="J439" s="157"/>
      <c r="K439" s="157"/>
      <c r="L439" s="38"/>
      <c r="M439" s="38"/>
      <c r="N439" s="38"/>
      <c r="O439" s="38"/>
      <c r="P439" s="38"/>
      <c r="Q439" s="38"/>
      <c r="R439" s="38"/>
    </row>
    <row r="440" spans="1:18" s="75" customFormat="1" x14ac:dyDescent="0.2">
      <c r="A440" s="26"/>
      <c r="B440" s="37"/>
      <c r="C440" s="157"/>
      <c r="D440" s="157"/>
      <c r="E440" s="157"/>
      <c r="F440" s="157"/>
      <c r="G440" s="224"/>
      <c r="H440" s="157"/>
      <c r="I440" s="157"/>
      <c r="J440" s="157"/>
      <c r="K440" s="157"/>
      <c r="L440" s="38"/>
      <c r="M440" s="38"/>
      <c r="N440" s="38"/>
      <c r="O440" s="38"/>
      <c r="P440" s="38"/>
      <c r="Q440" s="38"/>
      <c r="R440" s="38"/>
    </row>
    <row r="441" spans="1:18" s="75" customFormat="1" x14ac:dyDescent="0.2">
      <c r="A441" s="26"/>
      <c r="B441" s="37"/>
      <c r="C441" s="157"/>
      <c r="D441" s="157"/>
      <c r="E441" s="157"/>
      <c r="F441" s="157"/>
      <c r="G441" s="224"/>
      <c r="H441" s="157"/>
      <c r="I441" s="157"/>
      <c r="J441" s="157"/>
      <c r="K441" s="157"/>
      <c r="L441" s="38"/>
      <c r="M441" s="38"/>
      <c r="N441" s="38"/>
      <c r="O441" s="38"/>
      <c r="P441" s="38"/>
      <c r="Q441" s="38"/>
      <c r="R441" s="38"/>
    </row>
    <row r="442" spans="1:18" s="75" customFormat="1" x14ac:dyDescent="0.2">
      <c r="A442" s="26"/>
      <c r="B442" s="26"/>
      <c r="C442" s="157"/>
      <c r="D442" s="157"/>
      <c r="E442" s="157"/>
      <c r="F442" s="157"/>
      <c r="G442" s="224"/>
      <c r="H442" s="157"/>
      <c r="I442" s="157"/>
      <c r="J442" s="157"/>
      <c r="K442" s="157"/>
      <c r="L442" s="38"/>
      <c r="M442" s="38"/>
      <c r="N442" s="38"/>
      <c r="O442" s="38"/>
      <c r="P442" s="38"/>
      <c r="Q442" s="38"/>
      <c r="R442" s="38"/>
    </row>
    <row r="443" spans="1:18" s="75" customFormat="1" x14ac:dyDescent="0.2">
      <c r="A443" s="26"/>
      <c r="B443" s="26"/>
      <c r="C443" s="157"/>
      <c r="D443" s="157"/>
      <c r="E443" s="157"/>
      <c r="F443" s="157"/>
      <c r="G443" s="224"/>
      <c r="H443" s="157"/>
      <c r="I443" s="157"/>
      <c r="J443" s="157"/>
      <c r="K443" s="157"/>
      <c r="L443" s="38"/>
      <c r="M443" s="38"/>
      <c r="N443" s="38"/>
      <c r="O443" s="38"/>
      <c r="P443" s="38"/>
      <c r="Q443" s="38"/>
      <c r="R443" s="38"/>
    </row>
    <row r="444" spans="1:18" s="75" customFormat="1" x14ac:dyDescent="0.2">
      <c r="A444" s="26"/>
      <c r="B444" s="26"/>
      <c r="C444" s="157"/>
      <c r="D444" s="157"/>
      <c r="E444" s="157"/>
      <c r="F444" s="157"/>
      <c r="G444" s="224"/>
      <c r="H444" s="157"/>
      <c r="I444" s="157"/>
      <c r="J444" s="157"/>
      <c r="K444" s="157"/>
      <c r="L444" s="38"/>
      <c r="M444" s="38"/>
      <c r="N444" s="38"/>
      <c r="O444" s="38"/>
      <c r="P444" s="38"/>
      <c r="Q444" s="38"/>
      <c r="R444" s="38"/>
    </row>
    <row r="445" spans="1:18" s="75" customFormat="1" x14ac:dyDescent="0.2">
      <c r="A445" s="26"/>
      <c r="B445" s="26"/>
      <c r="C445" s="157"/>
      <c r="D445" s="157"/>
      <c r="E445" s="157"/>
      <c r="F445" s="157"/>
      <c r="G445" s="224"/>
      <c r="H445" s="157"/>
      <c r="I445" s="157"/>
      <c r="J445" s="157"/>
      <c r="K445" s="157"/>
      <c r="L445" s="38"/>
      <c r="M445" s="38"/>
      <c r="N445" s="38"/>
      <c r="O445" s="38"/>
      <c r="P445" s="38"/>
      <c r="Q445" s="38"/>
      <c r="R445" s="38"/>
    </row>
    <row r="446" spans="1:18" s="75" customFormat="1" x14ac:dyDescent="0.2">
      <c r="A446" s="26"/>
      <c r="B446" s="26"/>
      <c r="C446" s="157"/>
      <c r="D446" s="157"/>
      <c r="E446" s="157"/>
      <c r="F446" s="157"/>
      <c r="G446" s="224"/>
      <c r="H446" s="157"/>
      <c r="I446" s="157"/>
      <c r="J446" s="157"/>
      <c r="K446" s="157"/>
      <c r="L446" s="38"/>
      <c r="M446" s="38"/>
      <c r="N446" s="38"/>
      <c r="O446" s="38"/>
      <c r="P446" s="38"/>
      <c r="Q446" s="38"/>
      <c r="R446" s="38"/>
    </row>
    <row r="447" spans="1:18" s="75" customFormat="1" x14ac:dyDescent="0.2">
      <c r="A447" s="26"/>
      <c r="B447" s="26"/>
      <c r="C447" s="157"/>
      <c r="D447" s="157"/>
      <c r="E447" s="157"/>
      <c r="F447" s="157"/>
      <c r="G447" s="224"/>
      <c r="H447" s="157"/>
      <c r="I447" s="157"/>
      <c r="J447" s="157"/>
      <c r="K447" s="157"/>
      <c r="L447" s="38"/>
      <c r="M447" s="38"/>
      <c r="N447" s="38"/>
      <c r="O447" s="38"/>
      <c r="P447" s="38"/>
      <c r="Q447" s="38"/>
      <c r="R447" s="38"/>
    </row>
    <row r="448" spans="1:18" s="75" customFormat="1" x14ac:dyDescent="0.2">
      <c r="A448" s="26"/>
      <c r="B448" s="26"/>
      <c r="C448" s="157"/>
      <c r="D448" s="157"/>
      <c r="E448" s="157"/>
      <c r="F448" s="157"/>
      <c r="G448" s="224"/>
      <c r="H448" s="157"/>
      <c r="I448" s="157"/>
      <c r="J448" s="157"/>
      <c r="K448" s="157"/>
      <c r="L448" s="38"/>
      <c r="M448" s="38"/>
      <c r="N448" s="38"/>
      <c r="O448" s="38"/>
      <c r="P448" s="38"/>
      <c r="Q448" s="38"/>
      <c r="R448" s="38"/>
    </row>
    <row r="449" spans="1:18" s="75" customFormat="1" x14ac:dyDescent="0.2">
      <c r="A449" s="26"/>
      <c r="B449" s="26"/>
      <c r="C449" s="157"/>
      <c r="D449" s="157"/>
      <c r="E449" s="157"/>
      <c r="F449" s="157"/>
      <c r="G449" s="224"/>
      <c r="H449" s="157"/>
      <c r="I449" s="157"/>
      <c r="J449" s="157"/>
      <c r="K449" s="157"/>
      <c r="L449" s="38"/>
      <c r="M449" s="38"/>
      <c r="N449" s="38"/>
      <c r="O449" s="38"/>
      <c r="P449" s="38"/>
      <c r="Q449" s="38"/>
      <c r="R449" s="38"/>
    </row>
    <row r="450" spans="1:18" s="75" customFormat="1" x14ac:dyDescent="0.2">
      <c r="A450" s="26"/>
      <c r="B450" s="26"/>
      <c r="C450" s="157"/>
      <c r="D450" s="157"/>
      <c r="E450" s="157"/>
      <c r="F450" s="157"/>
      <c r="G450" s="224"/>
      <c r="H450" s="157"/>
      <c r="I450" s="157"/>
      <c r="J450" s="157"/>
      <c r="K450" s="157"/>
      <c r="L450" s="38"/>
      <c r="M450" s="38"/>
      <c r="N450" s="38"/>
      <c r="O450" s="38"/>
      <c r="P450" s="38"/>
      <c r="Q450" s="38"/>
      <c r="R450" s="38"/>
    </row>
    <row r="451" spans="1:18" s="75" customFormat="1" x14ac:dyDescent="0.2">
      <c r="A451" s="26"/>
      <c r="B451" s="26"/>
      <c r="C451" s="157"/>
      <c r="D451" s="157"/>
      <c r="E451" s="157"/>
      <c r="F451" s="157"/>
      <c r="G451" s="224"/>
      <c r="H451" s="157"/>
      <c r="I451" s="157"/>
      <c r="J451" s="157"/>
      <c r="K451" s="157"/>
      <c r="L451" s="38"/>
      <c r="M451" s="38"/>
      <c r="N451" s="38"/>
      <c r="O451" s="38"/>
      <c r="P451" s="38"/>
      <c r="Q451" s="38"/>
      <c r="R451" s="38"/>
    </row>
    <row r="452" spans="1:18" s="75" customFormat="1" x14ac:dyDescent="0.2">
      <c r="A452" s="26"/>
      <c r="B452" s="26"/>
      <c r="C452" s="157"/>
      <c r="D452" s="157"/>
      <c r="E452" s="157"/>
      <c r="F452" s="157"/>
      <c r="G452" s="224"/>
      <c r="H452" s="157"/>
      <c r="I452" s="157"/>
      <c r="J452" s="157"/>
      <c r="K452" s="157"/>
      <c r="L452" s="38"/>
      <c r="M452" s="38"/>
      <c r="N452" s="38"/>
      <c r="O452" s="38"/>
      <c r="P452" s="38"/>
      <c r="Q452" s="38"/>
      <c r="R452" s="38"/>
    </row>
    <row r="453" spans="1:18" s="75" customFormat="1" x14ac:dyDescent="0.2">
      <c r="A453" s="26"/>
      <c r="B453" s="26"/>
      <c r="C453" s="157"/>
      <c r="D453" s="157"/>
      <c r="E453" s="157"/>
      <c r="F453" s="157"/>
      <c r="G453" s="224"/>
      <c r="H453" s="157"/>
      <c r="I453" s="157"/>
      <c r="J453" s="157"/>
      <c r="K453" s="157"/>
      <c r="L453" s="38"/>
      <c r="M453" s="38"/>
      <c r="N453" s="38"/>
      <c r="O453" s="38"/>
      <c r="P453" s="38"/>
      <c r="Q453" s="38"/>
      <c r="R453" s="38"/>
    </row>
    <row r="454" spans="1:18" s="75" customFormat="1" x14ac:dyDescent="0.2">
      <c r="A454" s="26"/>
      <c r="B454" s="26"/>
      <c r="C454" s="157"/>
      <c r="D454" s="157"/>
      <c r="E454" s="157"/>
      <c r="F454" s="157"/>
      <c r="G454" s="224"/>
      <c r="H454" s="157"/>
      <c r="I454" s="157"/>
      <c r="J454" s="157"/>
      <c r="K454" s="157"/>
      <c r="L454" s="38"/>
      <c r="M454" s="38"/>
      <c r="N454" s="38"/>
      <c r="O454" s="38"/>
      <c r="P454" s="38"/>
      <c r="Q454" s="38"/>
      <c r="R454" s="38"/>
    </row>
    <row r="455" spans="1:18" s="75" customFormat="1" x14ac:dyDescent="0.2">
      <c r="A455" s="26"/>
      <c r="B455" s="26"/>
      <c r="C455" s="157"/>
      <c r="D455" s="157"/>
      <c r="E455" s="157"/>
      <c r="F455" s="157"/>
      <c r="G455" s="224"/>
      <c r="H455" s="157"/>
      <c r="I455" s="157"/>
      <c r="J455" s="157"/>
      <c r="K455" s="157"/>
      <c r="L455" s="38"/>
      <c r="M455" s="38"/>
      <c r="N455" s="38"/>
      <c r="O455" s="38"/>
      <c r="P455" s="38"/>
      <c r="Q455" s="38"/>
      <c r="R455" s="38"/>
    </row>
    <row r="456" spans="1:18" s="75" customFormat="1" x14ac:dyDescent="0.2">
      <c r="A456" s="26"/>
      <c r="B456" s="26"/>
      <c r="C456" s="157"/>
      <c r="D456" s="157"/>
      <c r="E456" s="157"/>
      <c r="F456" s="157"/>
      <c r="G456" s="224"/>
      <c r="H456" s="157"/>
      <c r="I456" s="157"/>
      <c r="J456" s="157"/>
      <c r="K456" s="157"/>
      <c r="L456" s="38"/>
      <c r="M456" s="38"/>
      <c r="N456" s="38"/>
      <c r="O456" s="38"/>
      <c r="P456" s="38"/>
      <c r="Q456" s="38"/>
      <c r="R456" s="38"/>
    </row>
    <row r="457" spans="1:18" s="75" customFormat="1" x14ac:dyDescent="0.2">
      <c r="A457" s="26"/>
      <c r="B457" s="26"/>
      <c r="C457" s="157"/>
      <c r="D457" s="157"/>
      <c r="E457" s="157"/>
      <c r="F457" s="157"/>
      <c r="G457" s="224"/>
      <c r="H457" s="157"/>
      <c r="I457" s="157"/>
      <c r="J457" s="157"/>
      <c r="K457" s="157"/>
      <c r="L457" s="38"/>
      <c r="M457" s="38"/>
      <c r="N457" s="38"/>
      <c r="O457" s="38"/>
      <c r="P457" s="38"/>
      <c r="Q457" s="38"/>
      <c r="R457" s="38"/>
    </row>
    <row r="458" spans="1:18" s="75" customFormat="1" x14ac:dyDescent="0.2">
      <c r="A458" s="26"/>
      <c r="B458" s="26"/>
      <c r="C458" s="157"/>
      <c r="D458" s="157"/>
      <c r="E458" s="157"/>
      <c r="F458" s="157"/>
      <c r="G458" s="224"/>
      <c r="H458" s="157"/>
      <c r="I458" s="157"/>
      <c r="J458" s="157"/>
      <c r="K458" s="157"/>
      <c r="L458" s="38"/>
      <c r="M458" s="38"/>
      <c r="N458" s="38"/>
      <c r="O458" s="38"/>
      <c r="P458" s="38"/>
      <c r="Q458" s="38"/>
      <c r="R458" s="38"/>
    </row>
    <row r="459" spans="1:18" s="75" customFormat="1" x14ac:dyDescent="0.2">
      <c r="A459" s="26"/>
      <c r="B459" s="26"/>
      <c r="C459" s="157"/>
      <c r="D459" s="157"/>
      <c r="E459" s="157"/>
      <c r="F459" s="157"/>
      <c r="G459" s="224"/>
      <c r="H459" s="157"/>
      <c r="I459" s="157"/>
      <c r="J459" s="157"/>
      <c r="K459" s="157"/>
      <c r="L459" s="38"/>
      <c r="M459" s="38"/>
      <c r="N459" s="38"/>
      <c r="O459" s="38"/>
      <c r="P459" s="38"/>
      <c r="Q459" s="38"/>
      <c r="R459" s="38"/>
    </row>
    <row r="460" spans="1:18" s="75" customFormat="1" x14ac:dyDescent="0.2">
      <c r="A460" s="26"/>
      <c r="B460" s="26"/>
      <c r="C460" s="157"/>
      <c r="D460" s="157"/>
      <c r="E460" s="157"/>
      <c r="F460" s="157"/>
      <c r="G460" s="224"/>
      <c r="H460" s="157"/>
      <c r="I460" s="157"/>
      <c r="J460" s="157"/>
      <c r="K460" s="157"/>
      <c r="L460" s="38"/>
      <c r="M460" s="38"/>
      <c r="N460" s="38"/>
      <c r="O460" s="38"/>
      <c r="P460" s="38"/>
      <c r="Q460" s="38"/>
      <c r="R460" s="38"/>
    </row>
    <row r="461" spans="1:18" s="75" customFormat="1" x14ac:dyDescent="0.2">
      <c r="A461" s="26"/>
      <c r="B461" s="26"/>
      <c r="C461" s="157"/>
      <c r="D461" s="157"/>
      <c r="E461" s="157"/>
      <c r="F461" s="157"/>
      <c r="G461" s="224"/>
      <c r="H461" s="157"/>
      <c r="I461" s="157"/>
      <c r="J461" s="157"/>
      <c r="K461" s="157"/>
      <c r="L461" s="38"/>
      <c r="M461" s="38"/>
      <c r="N461" s="38"/>
      <c r="O461" s="38"/>
      <c r="P461" s="38"/>
      <c r="Q461" s="38"/>
      <c r="R461" s="38"/>
    </row>
    <row r="462" spans="1:18" s="75" customFormat="1" x14ac:dyDescent="0.2">
      <c r="A462" s="26"/>
      <c r="B462" s="26"/>
      <c r="C462" s="157"/>
      <c r="D462" s="157"/>
      <c r="E462" s="157"/>
      <c r="F462" s="157"/>
      <c r="G462" s="224"/>
      <c r="H462" s="157"/>
      <c r="I462" s="157"/>
      <c r="J462" s="157"/>
      <c r="K462" s="157"/>
      <c r="L462" s="38"/>
      <c r="M462" s="38"/>
      <c r="N462" s="38"/>
      <c r="O462" s="38"/>
      <c r="P462" s="38"/>
      <c r="Q462" s="38"/>
      <c r="R462" s="38"/>
    </row>
    <row r="463" spans="1:18" s="75" customFormat="1" x14ac:dyDescent="0.2">
      <c r="A463" s="26"/>
      <c r="B463" s="26"/>
      <c r="C463" s="157"/>
      <c r="D463" s="157"/>
      <c r="E463" s="157"/>
      <c r="F463" s="157"/>
      <c r="G463" s="224"/>
      <c r="H463" s="157"/>
      <c r="I463" s="157"/>
      <c r="J463" s="157"/>
      <c r="K463" s="157"/>
      <c r="L463" s="38"/>
      <c r="M463" s="38"/>
      <c r="N463" s="38"/>
      <c r="O463" s="38"/>
      <c r="P463" s="38"/>
      <c r="Q463" s="38"/>
      <c r="R463" s="38"/>
    </row>
    <row r="464" spans="1:18" s="75" customFormat="1" x14ac:dyDescent="0.2">
      <c r="A464" s="26"/>
      <c r="B464" s="26"/>
      <c r="C464" s="157"/>
      <c r="D464" s="157"/>
      <c r="E464" s="157"/>
      <c r="F464" s="157"/>
      <c r="G464" s="224"/>
      <c r="H464" s="157"/>
      <c r="I464" s="157"/>
      <c r="J464" s="157"/>
      <c r="K464" s="157"/>
      <c r="L464" s="38"/>
      <c r="M464" s="38"/>
      <c r="N464" s="38"/>
      <c r="O464" s="38"/>
      <c r="P464" s="38"/>
      <c r="Q464" s="38"/>
      <c r="R464" s="38"/>
    </row>
    <row r="465" spans="1:18" s="75" customFormat="1" x14ac:dyDescent="0.2">
      <c r="A465" s="26"/>
      <c r="B465" s="26"/>
      <c r="C465" s="157"/>
      <c r="D465" s="157"/>
      <c r="E465" s="157"/>
      <c r="F465" s="157"/>
      <c r="G465" s="224"/>
      <c r="H465" s="157"/>
      <c r="I465" s="157"/>
      <c r="J465" s="157"/>
      <c r="K465" s="157"/>
      <c r="L465" s="38"/>
      <c r="M465" s="38"/>
      <c r="N465" s="38"/>
      <c r="O465" s="38"/>
      <c r="P465" s="38"/>
      <c r="Q465" s="38"/>
      <c r="R465" s="38"/>
    </row>
    <row r="466" spans="1:18" s="75" customFormat="1" x14ac:dyDescent="0.2">
      <c r="A466" s="26"/>
      <c r="B466" s="26"/>
      <c r="C466" s="157"/>
      <c r="D466" s="157"/>
      <c r="E466" s="157"/>
      <c r="F466" s="157"/>
      <c r="G466" s="224"/>
      <c r="H466" s="157"/>
      <c r="I466" s="157"/>
      <c r="J466" s="157"/>
      <c r="K466" s="157"/>
      <c r="L466" s="38"/>
      <c r="M466" s="38"/>
      <c r="N466" s="38"/>
      <c r="O466" s="38"/>
      <c r="P466" s="38"/>
      <c r="Q466" s="38"/>
      <c r="R466" s="38"/>
    </row>
    <row r="467" spans="1:18" s="75" customFormat="1" x14ac:dyDescent="0.2">
      <c r="A467" s="26"/>
      <c r="B467" s="26"/>
      <c r="C467" s="157"/>
      <c r="D467" s="157"/>
      <c r="E467" s="157"/>
      <c r="F467" s="157"/>
      <c r="G467" s="224"/>
      <c r="H467" s="157"/>
      <c r="I467" s="157"/>
      <c r="J467" s="157"/>
      <c r="K467" s="157"/>
      <c r="L467" s="38"/>
      <c r="M467" s="38"/>
      <c r="N467" s="38"/>
      <c r="O467" s="38"/>
      <c r="P467" s="38"/>
      <c r="Q467" s="38"/>
      <c r="R467" s="38"/>
    </row>
    <row r="468" spans="1:18" s="75" customFormat="1" x14ac:dyDescent="0.2">
      <c r="A468" s="26"/>
      <c r="B468" s="26"/>
      <c r="C468" s="157"/>
      <c r="D468" s="157"/>
      <c r="E468" s="157"/>
      <c r="F468" s="157"/>
      <c r="G468" s="224"/>
      <c r="H468" s="157"/>
      <c r="I468" s="157"/>
      <c r="J468" s="157"/>
      <c r="K468" s="157"/>
      <c r="L468" s="38"/>
      <c r="M468" s="38"/>
      <c r="N468" s="38"/>
      <c r="O468" s="38"/>
      <c r="P468" s="38"/>
      <c r="Q468" s="38"/>
      <c r="R468" s="38"/>
    </row>
    <row r="469" spans="1:18" s="75" customFormat="1" x14ac:dyDescent="0.2">
      <c r="A469" s="26"/>
      <c r="B469" s="26"/>
      <c r="C469" s="157"/>
      <c r="D469" s="157"/>
      <c r="E469" s="157"/>
      <c r="F469" s="157"/>
      <c r="G469" s="224"/>
      <c r="H469" s="157"/>
      <c r="I469" s="157"/>
      <c r="J469" s="157"/>
      <c r="K469" s="157"/>
      <c r="L469" s="38"/>
      <c r="M469" s="38"/>
      <c r="N469" s="38"/>
      <c r="O469" s="38"/>
      <c r="P469" s="38"/>
      <c r="Q469" s="38"/>
      <c r="R469" s="38"/>
    </row>
    <row r="470" spans="1:18" s="75" customFormat="1" x14ac:dyDescent="0.2">
      <c r="A470" s="26"/>
      <c r="B470" s="26"/>
      <c r="C470" s="157"/>
      <c r="D470" s="157"/>
      <c r="E470" s="157"/>
      <c r="F470" s="157"/>
      <c r="G470" s="224"/>
      <c r="H470" s="157"/>
      <c r="I470" s="157"/>
      <c r="J470" s="157"/>
      <c r="K470" s="157"/>
      <c r="L470" s="38"/>
      <c r="M470" s="38"/>
      <c r="N470" s="38"/>
      <c r="O470" s="38"/>
      <c r="P470" s="38"/>
      <c r="Q470" s="38"/>
      <c r="R470" s="38"/>
    </row>
    <row r="471" spans="1:18" s="75" customFormat="1" x14ac:dyDescent="0.2">
      <c r="A471" s="26"/>
      <c r="B471" s="26"/>
      <c r="C471" s="157"/>
      <c r="D471" s="157"/>
      <c r="E471" s="157"/>
      <c r="F471" s="157"/>
      <c r="G471" s="224"/>
      <c r="H471" s="157"/>
      <c r="I471" s="157"/>
      <c r="J471" s="157"/>
      <c r="K471" s="157"/>
      <c r="L471" s="38"/>
      <c r="M471" s="38"/>
      <c r="N471" s="38"/>
      <c r="O471" s="38"/>
      <c r="P471" s="38"/>
      <c r="Q471" s="38"/>
      <c r="R471" s="38"/>
    </row>
    <row r="472" spans="1:18" s="75" customFormat="1" x14ac:dyDescent="0.2">
      <c r="A472" s="26"/>
      <c r="B472" s="26"/>
      <c r="C472" s="157"/>
      <c r="D472" s="157"/>
      <c r="E472" s="157"/>
      <c r="F472" s="157"/>
      <c r="G472" s="224"/>
      <c r="H472" s="157"/>
      <c r="I472" s="157"/>
      <c r="J472" s="157"/>
      <c r="K472" s="157"/>
      <c r="L472" s="38"/>
      <c r="M472" s="38"/>
      <c r="N472" s="38"/>
      <c r="O472" s="38"/>
      <c r="P472" s="38"/>
      <c r="Q472" s="38"/>
      <c r="R472" s="38"/>
    </row>
    <row r="473" spans="1:18" s="75" customFormat="1" x14ac:dyDescent="0.2">
      <c r="A473" s="26"/>
      <c r="B473" s="26"/>
      <c r="C473" s="157"/>
      <c r="D473" s="157"/>
      <c r="E473" s="157"/>
      <c r="F473" s="157"/>
      <c r="G473" s="224"/>
      <c r="H473" s="157"/>
      <c r="I473" s="157"/>
      <c r="J473" s="157"/>
      <c r="K473" s="157"/>
      <c r="L473" s="38"/>
      <c r="M473" s="38"/>
      <c r="N473" s="38"/>
      <c r="O473" s="38"/>
      <c r="P473" s="38"/>
      <c r="Q473" s="38"/>
      <c r="R473" s="38"/>
    </row>
    <row r="474" spans="1:18" s="75" customFormat="1" x14ac:dyDescent="0.2">
      <c r="A474" s="26"/>
      <c r="B474" s="26"/>
      <c r="C474" s="157"/>
      <c r="D474" s="157"/>
      <c r="E474" s="157"/>
      <c r="F474" s="157"/>
      <c r="G474" s="224"/>
      <c r="H474" s="157"/>
      <c r="I474" s="157"/>
      <c r="J474" s="157"/>
      <c r="K474" s="157"/>
      <c r="L474" s="38"/>
      <c r="M474" s="38"/>
      <c r="N474" s="38"/>
      <c r="O474" s="38"/>
      <c r="P474" s="38"/>
      <c r="Q474" s="38"/>
      <c r="R474" s="38"/>
    </row>
    <row r="475" spans="1:18" s="75" customFormat="1" x14ac:dyDescent="0.2">
      <c r="A475" s="26"/>
      <c r="B475" s="26"/>
      <c r="C475" s="157"/>
      <c r="D475" s="157"/>
      <c r="E475" s="157"/>
      <c r="F475" s="157"/>
      <c r="G475" s="224"/>
      <c r="H475" s="157"/>
      <c r="I475" s="157"/>
      <c r="J475" s="157"/>
      <c r="K475" s="157"/>
      <c r="L475" s="38"/>
      <c r="M475" s="38"/>
      <c r="N475" s="38"/>
      <c r="O475" s="38"/>
      <c r="P475" s="38"/>
      <c r="Q475" s="38"/>
      <c r="R475" s="38"/>
    </row>
    <row r="476" spans="1:18" s="75" customFormat="1" x14ac:dyDescent="0.2">
      <c r="A476" s="26"/>
      <c r="B476" s="26"/>
      <c r="C476" s="157"/>
      <c r="D476" s="157"/>
      <c r="E476" s="157"/>
      <c r="F476" s="157"/>
      <c r="G476" s="224"/>
      <c r="H476" s="157"/>
      <c r="I476" s="157"/>
      <c r="J476" s="157"/>
      <c r="K476" s="157"/>
      <c r="L476" s="38"/>
      <c r="M476" s="38"/>
      <c r="N476" s="38"/>
      <c r="O476" s="38"/>
      <c r="P476" s="38"/>
      <c r="Q476" s="38"/>
      <c r="R476" s="38"/>
    </row>
    <row r="477" spans="1:18" s="75" customFormat="1" x14ac:dyDescent="0.2">
      <c r="A477" s="26"/>
      <c r="B477" s="26"/>
      <c r="C477" s="157"/>
      <c r="D477" s="157"/>
      <c r="E477" s="157"/>
      <c r="F477" s="157"/>
      <c r="G477" s="224"/>
      <c r="H477" s="157"/>
      <c r="I477" s="157"/>
      <c r="J477" s="157"/>
      <c r="K477" s="157"/>
      <c r="L477" s="38"/>
      <c r="M477" s="38"/>
      <c r="N477" s="38"/>
      <c r="O477" s="38"/>
      <c r="P477" s="38"/>
      <c r="Q477" s="38"/>
      <c r="R477" s="38"/>
    </row>
    <row r="478" spans="1:18" s="75" customFormat="1" x14ac:dyDescent="0.2">
      <c r="A478" s="26"/>
      <c r="B478" s="26"/>
      <c r="C478" s="157"/>
      <c r="D478" s="157"/>
      <c r="E478" s="157"/>
      <c r="F478" s="157"/>
      <c r="G478" s="224"/>
      <c r="H478" s="157"/>
      <c r="I478" s="157"/>
      <c r="J478" s="157"/>
      <c r="K478" s="157"/>
      <c r="L478" s="38"/>
      <c r="M478" s="38"/>
      <c r="N478" s="38"/>
      <c r="O478" s="38"/>
      <c r="P478" s="38"/>
      <c r="Q478" s="38"/>
      <c r="R478" s="38"/>
    </row>
    <row r="479" spans="1:18" s="75" customFormat="1" x14ac:dyDescent="0.2">
      <c r="A479" s="26"/>
      <c r="B479" s="26"/>
      <c r="C479" s="157"/>
      <c r="D479" s="157"/>
      <c r="E479" s="157"/>
      <c r="F479" s="157"/>
      <c r="G479" s="224"/>
      <c r="H479" s="157"/>
      <c r="I479" s="157"/>
      <c r="J479" s="157"/>
      <c r="K479" s="157"/>
      <c r="L479" s="38"/>
      <c r="M479" s="38"/>
      <c r="N479" s="38"/>
      <c r="O479" s="38"/>
      <c r="P479" s="38"/>
      <c r="Q479" s="38"/>
      <c r="R479" s="38"/>
    </row>
    <row r="480" spans="1:18" s="75" customFormat="1" x14ac:dyDescent="0.2">
      <c r="A480" s="26"/>
      <c r="B480" s="26"/>
      <c r="C480" s="157"/>
      <c r="D480" s="157"/>
      <c r="E480" s="157"/>
      <c r="F480" s="157"/>
      <c r="G480" s="224"/>
      <c r="H480" s="157"/>
      <c r="I480" s="157"/>
      <c r="J480" s="157"/>
      <c r="K480" s="157"/>
      <c r="L480" s="38"/>
      <c r="M480" s="38"/>
      <c r="N480" s="38"/>
      <c r="O480" s="38"/>
      <c r="P480" s="38"/>
      <c r="Q480" s="38"/>
      <c r="R480" s="38"/>
    </row>
    <row r="481" spans="1:18" s="75" customFormat="1" x14ac:dyDescent="0.2">
      <c r="A481" s="26"/>
      <c r="B481" s="26"/>
      <c r="C481" s="157"/>
      <c r="D481" s="157"/>
      <c r="E481" s="157"/>
      <c r="F481" s="157"/>
      <c r="G481" s="224"/>
      <c r="H481" s="157"/>
      <c r="I481" s="157"/>
      <c r="J481" s="157"/>
      <c r="K481" s="157"/>
      <c r="L481" s="38"/>
      <c r="M481" s="38"/>
      <c r="N481" s="38"/>
      <c r="O481" s="38"/>
      <c r="P481" s="38"/>
      <c r="Q481" s="38"/>
      <c r="R481" s="38"/>
    </row>
    <row r="482" spans="1:18" s="75" customFormat="1" x14ac:dyDescent="0.2">
      <c r="A482" s="26"/>
      <c r="B482" s="26"/>
      <c r="C482" s="157"/>
      <c r="D482" s="157"/>
      <c r="E482" s="157"/>
      <c r="F482" s="157"/>
      <c r="G482" s="224"/>
      <c r="H482" s="157"/>
      <c r="I482" s="157"/>
      <c r="J482" s="157"/>
      <c r="K482" s="157"/>
      <c r="L482" s="38"/>
      <c r="M482" s="38"/>
      <c r="N482" s="38"/>
      <c r="O482" s="38"/>
      <c r="P482" s="38"/>
      <c r="Q482" s="38"/>
      <c r="R482" s="38"/>
    </row>
    <row r="483" spans="1:18" s="75" customFormat="1" x14ac:dyDescent="0.2">
      <c r="A483" s="26"/>
      <c r="B483" s="26"/>
      <c r="C483" s="157"/>
      <c r="D483" s="157"/>
      <c r="E483" s="157"/>
      <c r="F483" s="157"/>
      <c r="G483" s="224"/>
      <c r="H483" s="157"/>
      <c r="I483" s="157"/>
      <c r="J483" s="157"/>
      <c r="K483" s="157"/>
      <c r="L483" s="38"/>
      <c r="M483" s="38"/>
      <c r="N483" s="38"/>
      <c r="O483" s="38"/>
      <c r="P483" s="38"/>
      <c r="Q483" s="38"/>
      <c r="R483" s="38"/>
    </row>
    <row r="484" spans="1:18" s="75" customFormat="1" x14ac:dyDescent="0.2">
      <c r="A484" s="26"/>
      <c r="B484" s="26"/>
      <c r="C484" s="157"/>
      <c r="D484" s="157"/>
      <c r="E484" s="157"/>
      <c r="F484" s="157"/>
      <c r="G484" s="224"/>
      <c r="H484" s="157"/>
      <c r="I484" s="157"/>
      <c r="J484" s="157"/>
      <c r="K484" s="157"/>
      <c r="L484" s="38"/>
      <c r="M484" s="38"/>
      <c r="N484" s="38"/>
      <c r="O484" s="38"/>
      <c r="P484" s="38"/>
      <c r="Q484" s="38"/>
      <c r="R484" s="38"/>
    </row>
    <row r="485" spans="1:18" s="75" customFormat="1" x14ac:dyDescent="0.2">
      <c r="A485" s="26"/>
      <c r="B485" s="26"/>
      <c r="C485" s="157"/>
      <c r="D485" s="157"/>
      <c r="E485" s="157"/>
      <c r="F485" s="157"/>
      <c r="G485" s="224"/>
      <c r="H485" s="157"/>
      <c r="I485" s="157"/>
      <c r="J485" s="157"/>
      <c r="K485" s="157"/>
      <c r="L485" s="38"/>
      <c r="M485" s="38"/>
      <c r="N485" s="38"/>
      <c r="O485" s="38"/>
      <c r="P485" s="38"/>
      <c r="Q485" s="38"/>
      <c r="R485" s="38"/>
    </row>
    <row r="486" spans="1:18" s="75" customFormat="1" x14ac:dyDescent="0.2">
      <c r="A486" s="26"/>
      <c r="B486" s="26"/>
      <c r="C486" s="157"/>
      <c r="D486" s="157"/>
      <c r="E486" s="157"/>
      <c r="F486" s="157"/>
      <c r="G486" s="224"/>
      <c r="H486" s="157"/>
      <c r="I486" s="157"/>
      <c r="J486" s="157"/>
      <c r="K486" s="157"/>
      <c r="L486" s="38"/>
      <c r="M486" s="38"/>
      <c r="N486" s="38"/>
      <c r="O486" s="38"/>
      <c r="P486" s="38"/>
      <c r="Q486" s="38"/>
      <c r="R486" s="38"/>
    </row>
    <row r="487" spans="1:18" s="75" customFormat="1" x14ac:dyDescent="0.2">
      <c r="A487" s="26"/>
      <c r="B487" s="26"/>
      <c r="C487" s="157"/>
      <c r="D487" s="157"/>
      <c r="E487" s="157"/>
      <c r="F487" s="157"/>
      <c r="G487" s="224"/>
      <c r="H487" s="157"/>
      <c r="I487" s="157"/>
      <c r="J487" s="157"/>
      <c r="K487" s="157"/>
      <c r="L487" s="38"/>
      <c r="M487" s="38"/>
      <c r="N487" s="38"/>
      <c r="O487" s="38"/>
      <c r="P487" s="38"/>
      <c r="Q487" s="38"/>
      <c r="R487" s="38"/>
    </row>
    <row r="488" spans="1:18" s="75" customFormat="1" x14ac:dyDescent="0.2">
      <c r="A488" s="26"/>
      <c r="B488" s="26"/>
      <c r="C488" s="157"/>
      <c r="D488" s="157"/>
      <c r="E488" s="157"/>
      <c r="F488" s="157"/>
      <c r="G488" s="224"/>
      <c r="H488" s="157"/>
      <c r="I488" s="157"/>
      <c r="J488" s="157"/>
      <c r="K488" s="157"/>
      <c r="L488" s="38"/>
      <c r="M488" s="38"/>
      <c r="N488" s="38"/>
      <c r="O488" s="38"/>
      <c r="P488" s="38"/>
      <c r="Q488" s="38"/>
      <c r="R488" s="38"/>
    </row>
    <row r="489" spans="1:18" s="75" customFormat="1" x14ac:dyDescent="0.2">
      <c r="A489" s="26"/>
      <c r="B489" s="26"/>
      <c r="C489" s="157"/>
      <c r="D489" s="157"/>
      <c r="E489" s="157"/>
      <c r="F489" s="157"/>
      <c r="G489" s="224"/>
      <c r="H489" s="157"/>
      <c r="I489" s="157"/>
      <c r="J489" s="157"/>
      <c r="K489" s="157"/>
      <c r="L489" s="38"/>
      <c r="M489" s="38"/>
      <c r="N489" s="38"/>
      <c r="O489" s="38"/>
      <c r="P489" s="38"/>
      <c r="Q489" s="38"/>
      <c r="R489" s="38"/>
    </row>
    <row r="490" spans="1:18" s="75" customFormat="1" x14ac:dyDescent="0.2">
      <c r="A490" s="26"/>
      <c r="B490" s="26"/>
      <c r="C490" s="157"/>
      <c r="D490" s="157"/>
      <c r="E490" s="157"/>
      <c r="F490" s="157"/>
      <c r="G490" s="224"/>
      <c r="H490" s="157"/>
      <c r="I490" s="157"/>
      <c r="J490" s="157"/>
      <c r="K490" s="157"/>
      <c r="L490" s="38"/>
      <c r="M490" s="38"/>
      <c r="N490" s="38"/>
      <c r="O490" s="38"/>
      <c r="P490" s="38"/>
      <c r="Q490" s="38"/>
      <c r="R490" s="38"/>
    </row>
    <row r="491" spans="1:18" s="75" customFormat="1" x14ac:dyDescent="0.2">
      <c r="A491" s="26"/>
      <c r="B491" s="26"/>
      <c r="C491" s="157"/>
      <c r="D491" s="157"/>
      <c r="E491" s="157"/>
      <c r="F491" s="157"/>
      <c r="G491" s="224"/>
      <c r="H491" s="157"/>
      <c r="I491" s="157"/>
      <c r="J491" s="157"/>
      <c r="K491" s="157"/>
      <c r="L491" s="38"/>
      <c r="M491" s="38"/>
      <c r="N491" s="38"/>
      <c r="O491" s="38"/>
      <c r="P491" s="38"/>
      <c r="Q491" s="38"/>
      <c r="R491" s="38"/>
    </row>
    <row r="492" spans="1:18" s="75" customFormat="1" x14ac:dyDescent="0.2">
      <c r="A492" s="26"/>
      <c r="B492" s="26"/>
      <c r="C492" s="157"/>
      <c r="D492" s="157"/>
      <c r="E492" s="157"/>
      <c r="F492" s="157"/>
      <c r="G492" s="224"/>
      <c r="H492" s="157"/>
      <c r="I492" s="157"/>
      <c r="J492" s="157"/>
      <c r="K492" s="157"/>
      <c r="L492" s="38"/>
      <c r="M492" s="38"/>
      <c r="N492" s="38"/>
      <c r="O492" s="38"/>
      <c r="P492" s="38"/>
      <c r="Q492" s="38"/>
      <c r="R492" s="38"/>
    </row>
    <row r="493" spans="1:18" s="75" customFormat="1" x14ac:dyDescent="0.2">
      <c r="A493" s="26"/>
      <c r="B493" s="26"/>
      <c r="C493" s="157"/>
      <c r="D493" s="157"/>
      <c r="E493" s="157"/>
      <c r="F493" s="157"/>
      <c r="G493" s="224"/>
      <c r="H493" s="157"/>
      <c r="I493" s="157"/>
      <c r="J493" s="157"/>
      <c r="K493" s="157"/>
      <c r="L493" s="38"/>
      <c r="M493" s="38"/>
      <c r="N493" s="38"/>
      <c r="O493" s="38"/>
      <c r="P493" s="38"/>
      <c r="Q493" s="38"/>
      <c r="R493" s="38"/>
    </row>
    <row r="494" spans="1:18" s="75" customFormat="1" x14ac:dyDescent="0.2">
      <c r="A494" s="26"/>
      <c r="B494" s="26"/>
      <c r="C494" s="157"/>
      <c r="D494" s="157"/>
      <c r="E494" s="157"/>
      <c r="F494" s="157"/>
      <c r="G494" s="224"/>
      <c r="H494" s="157"/>
      <c r="I494" s="157"/>
      <c r="J494" s="157"/>
      <c r="K494" s="157"/>
      <c r="L494" s="38"/>
      <c r="M494" s="38"/>
      <c r="N494" s="38"/>
      <c r="O494" s="38"/>
      <c r="P494" s="38"/>
      <c r="Q494" s="38"/>
      <c r="R494" s="38"/>
    </row>
    <row r="495" spans="1:18" s="75" customFormat="1" x14ac:dyDescent="0.2">
      <c r="A495" s="26"/>
      <c r="B495" s="26"/>
      <c r="C495" s="157"/>
      <c r="D495" s="157"/>
      <c r="E495" s="157"/>
      <c r="F495" s="157"/>
      <c r="G495" s="224"/>
      <c r="H495" s="157"/>
      <c r="I495" s="157"/>
      <c r="J495" s="157"/>
      <c r="K495" s="157"/>
      <c r="L495" s="38"/>
      <c r="M495" s="38"/>
      <c r="N495" s="38"/>
      <c r="O495" s="38"/>
      <c r="P495" s="38"/>
      <c r="Q495" s="38"/>
      <c r="R495" s="38"/>
    </row>
    <row r="496" spans="1:18" s="75" customFormat="1" x14ac:dyDescent="0.2">
      <c r="A496" s="26"/>
      <c r="B496" s="26"/>
      <c r="C496" s="157"/>
      <c r="D496" s="157"/>
      <c r="E496" s="157"/>
      <c r="F496" s="157"/>
      <c r="G496" s="224"/>
      <c r="H496" s="157"/>
      <c r="I496" s="157"/>
      <c r="J496" s="157"/>
      <c r="K496" s="157"/>
      <c r="L496" s="38"/>
      <c r="M496" s="38"/>
      <c r="N496" s="38"/>
      <c r="O496" s="38"/>
      <c r="P496" s="38"/>
      <c r="Q496" s="38"/>
      <c r="R496" s="38"/>
    </row>
    <row r="497" spans="1:18" s="75" customFormat="1" x14ac:dyDescent="0.2">
      <c r="A497" s="26"/>
      <c r="B497" s="26"/>
      <c r="C497" s="157"/>
      <c r="D497" s="157"/>
      <c r="E497" s="157"/>
      <c r="F497" s="157"/>
      <c r="G497" s="224"/>
      <c r="H497" s="157"/>
      <c r="I497" s="157"/>
      <c r="J497" s="157"/>
      <c r="K497" s="157"/>
      <c r="L497" s="38"/>
      <c r="M497" s="38"/>
      <c r="N497" s="38"/>
      <c r="O497" s="38"/>
      <c r="P497" s="38"/>
      <c r="Q497" s="38"/>
      <c r="R497" s="38"/>
    </row>
    <row r="498" spans="1:18" s="75" customFormat="1" x14ac:dyDescent="0.2">
      <c r="A498" s="26"/>
      <c r="B498" s="26"/>
      <c r="C498" s="157"/>
      <c r="D498" s="157"/>
      <c r="E498" s="157"/>
      <c r="F498" s="157"/>
      <c r="G498" s="224"/>
      <c r="H498" s="157"/>
      <c r="I498" s="157"/>
      <c r="J498" s="157"/>
      <c r="K498" s="157"/>
      <c r="L498" s="38"/>
      <c r="M498" s="38"/>
      <c r="N498" s="38"/>
      <c r="O498" s="38"/>
      <c r="P498" s="38"/>
      <c r="Q498" s="38"/>
      <c r="R498" s="38"/>
    </row>
    <row r="499" spans="1:18" s="75" customFormat="1" x14ac:dyDescent="0.2">
      <c r="A499" s="26"/>
      <c r="B499" s="26"/>
      <c r="C499" s="157"/>
      <c r="D499" s="157"/>
      <c r="E499" s="157"/>
      <c r="F499" s="157"/>
      <c r="G499" s="224"/>
      <c r="H499" s="157"/>
      <c r="I499" s="157"/>
      <c r="J499" s="157"/>
      <c r="K499" s="157"/>
      <c r="L499" s="38"/>
      <c r="M499" s="38"/>
      <c r="N499" s="38"/>
      <c r="O499" s="38"/>
      <c r="P499" s="38"/>
      <c r="Q499" s="38"/>
      <c r="R499" s="38"/>
    </row>
    <row r="500" spans="1:18" s="75" customFormat="1" x14ac:dyDescent="0.2">
      <c r="A500" s="26"/>
      <c r="B500" s="26"/>
      <c r="C500" s="157"/>
      <c r="D500" s="157"/>
      <c r="E500" s="157"/>
      <c r="F500" s="157"/>
      <c r="G500" s="224"/>
      <c r="H500" s="157"/>
      <c r="I500" s="157"/>
      <c r="J500" s="157"/>
      <c r="K500" s="157"/>
      <c r="L500" s="38"/>
      <c r="M500" s="38"/>
      <c r="N500" s="38"/>
      <c r="O500" s="38"/>
      <c r="P500" s="38"/>
      <c r="Q500" s="38"/>
      <c r="R500" s="38"/>
    </row>
    <row r="501" spans="1:18" s="75" customFormat="1" x14ac:dyDescent="0.2">
      <c r="A501" s="26"/>
      <c r="B501" s="26"/>
      <c r="C501" s="157"/>
      <c r="D501" s="157"/>
      <c r="E501" s="157"/>
      <c r="F501" s="157"/>
      <c r="G501" s="224"/>
      <c r="H501" s="157"/>
      <c r="I501" s="157"/>
      <c r="J501" s="157"/>
      <c r="K501" s="157"/>
      <c r="L501" s="38"/>
      <c r="M501" s="38"/>
      <c r="N501" s="38"/>
      <c r="O501" s="38"/>
      <c r="P501" s="38"/>
      <c r="Q501" s="38"/>
      <c r="R501" s="38"/>
    </row>
    <row r="502" spans="1:18" s="75" customFormat="1" x14ac:dyDescent="0.2">
      <c r="A502" s="26"/>
      <c r="B502" s="26"/>
      <c r="C502" s="157"/>
      <c r="D502" s="157"/>
      <c r="E502" s="157"/>
      <c r="F502" s="157"/>
      <c r="G502" s="224"/>
      <c r="H502" s="157"/>
      <c r="I502" s="157"/>
      <c r="J502" s="157"/>
      <c r="K502" s="157"/>
      <c r="L502" s="38"/>
      <c r="M502" s="38"/>
      <c r="N502" s="38"/>
      <c r="O502" s="38"/>
      <c r="P502" s="38"/>
      <c r="Q502" s="38"/>
      <c r="R502" s="38"/>
    </row>
    <row r="503" spans="1:18" s="75" customFormat="1" x14ac:dyDescent="0.2">
      <c r="A503" s="26"/>
      <c r="B503" s="26"/>
      <c r="C503" s="157"/>
      <c r="D503" s="157"/>
      <c r="E503" s="157"/>
      <c r="F503" s="157"/>
      <c r="G503" s="224"/>
      <c r="H503" s="157"/>
      <c r="I503" s="157"/>
      <c r="J503" s="157"/>
      <c r="K503" s="157"/>
      <c r="L503" s="38"/>
      <c r="M503" s="38"/>
      <c r="N503" s="38"/>
      <c r="O503" s="38"/>
      <c r="P503" s="38"/>
      <c r="Q503" s="38"/>
      <c r="R503" s="38"/>
    </row>
    <row r="504" spans="1:18" s="75" customFormat="1" x14ac:dyDescent="0.2">
      <c r="A504" s="26"/>
      <c r="B504" s="26"/>
      <c r="C504" s="157"/>
      <c r="D504" s="157"/>
      <c r="E504" s="157"/>
      <c r="F504" s="157"/>
      <c r="G504" s="224"/>
      <c r="H504" s="157"/>
      <c r="I504" s="157"/>
      <c r="J504" s="157"/>
      <c r="K504" s="157"/>
      <c r="L504" s="38"/>
      <c r="M504" s="38"/>
      <c r="N504" s="38"/>
      <c r="O504" s="38"/>
      <c r="P504" s="38"/>
      <c r="Q504" s="38"/>
      <c r="R504" s="38"/>
    </row>
    <row r="505" spans="1:18" s="75" customFormat="1" x14ac:dyDescent="0.2">
      <c r="A505" s="26"/>
      <c r="B505" s="26"/>
      <c r="C505" s="157"/>
      <c r="D505" s="157"/>
      <c r="E505" s="157"/>
      <c r="F505" s="157"/>
      <c r="G505" s="224"/>
      <c r="H505" s="157"/>
      <c r="I505" s="157"/>
      <c r="J505" s="157"/>
      <c r="K505" s="157"/>
      <c r="L505" s="38"/>
      <c r="M505" s="38"/>
      <c r="N505" s="38"/>
      <c r="O505" s="38"/>
      <c r="P505" s="38"/>
      <c r="Q505" s="38"/>
      <c r="R505" s="38"/>
    </row>
    <row r="506" spans="1:18" s="75" customFormat="1" x14ac:dyDescent="0.2">
      <c r="A506" s="26"/>
      <c r="B506" s="26"/>
      <c r="C506" s="157"/>
      <c r="D506" s="157"/>
      <c r="E506" s="157"/>
      <c r="F506" s="157"/>
      <c r="G506" s="224"/>
      <c r="H506" s="157"/>
      <c r="I506" s="157"/>
      <c r="J506" s="157"/>
      <c r="K506" s="157"/>
      <c r="L506" s="38"/>
      <c r="M506" s="38"/>
      <c r="N506" s="38"/>
      <c r="O506" s="38"/>
      <c r="P506" s="38"/>
      <c r="Q506" s="38"/>
      <c r="R506" s="38"/>
    </row>
    <row r="507" spans="1:18" s="75" customFormat="1" x14ac:dyDescent="0.2">
      <c r="A507" s="26"/>
      <c r="B507" s="26"/>
      <c r="C507" s="157"/>
      <c r="D507" s="157"/>
      <c r="E507" s="157"/>
      <c r="F507" s="157"/>
      <c r="G507" s="224"/>
      <c r="H507" s="157"/>
      <c r="I507" s="157"/>
      <c r="J507" s="157"/>
      <c r="K507" s="157"/>
      <c r="L507" s="38"/>
      <c r="M507" s="38"/>
      <c r="N507" s="38"/>
      <c r="O507" s="38"/>
      <c r="P507" s="38"/>
      <c r="Q507" s="38"/>
      <c r="R507" s="38"/>
    </row>
    <row r="508" spans="1:18" s="75" customFormat="1" x14ac:dyDescent="0.2">
      <c r="A508" s="26"/>
      <c r="B508" s="26"/>
      <c r="C508" s="157"/>
      <c r="D508" s="157"/>
      <c r="E508" s="157"/>
      <c r="F508" s="157"/>
      <c r="G508" s="224"/>
      <c r="H508" s="157"/>
      <c r="I508" s="157"/>
      <c r="J508" s="157"/>
      <c r="K508" s="157"/>
      <c r="L508" s="38"/>
      <c r="M508" s="38"/>
      <c r="N508" s="38"/>
      <c r="O508" s="38"/>
      <c r="P508" s="38"/>
      <c r="Q508" s="38"/>
      <c r="R508" s="38"/>
    </row>
    <row r="509" spans="1:18" s="75" customFormat="1" x14ac:dyDescent="0.2">
      <c r="A509" s="26"/>
      <c r="B509" s="26"/>
      <c r="C509" s="157"/>
      <c r="D509" s="157"/>
      <c r="E509" s="157"/>
      <c r="F509" s="157"/>
      <c r="G509" s="224"/>
      <c r="H509" s="157"/>
      <c r="I509" s="157"/>
      <c r="J509" s="157"/>
      <c r="K509" s="157"/>
      <c r="L509" s="38"/>
      <c r="M509" s="38"/>
      <c r="N509" s="38"/>
      <c r="O509" s="38"/>
      <c r="P509" s="38"/>
      <c r="Q509" s="38"/>
      <c r="R509" s="38"/>
    </row>
    <row r="510" spans="1:18" s="75" customFormat="1" x14ac:dyDescent="0.2">
      <c r="A510" s="26"/>
      <c r="B510" s="26"/>
      <c r="C510" s="157"/>
      <c r="D510" s="157"/>
      <c r="E510" s="157"/>
      <c r="F510" s="157"/>
      <c r="G510" s="224"/>
      <c r="H510" s="157"/>
      <c r="I510" s="157"/>
      <c r="J510" s="157"/>
      <c r="K510" s="157"/>
      <c r="L510" s="38"/>
      <c r="M510" s="38"/>
      <c r="N510" s="38"/>
      <c r="O510" s="38"/>
      <c r="P510" s="38"/>
      <c r="Q510" s="38"/>
      <c r="R510" s="38"/>
    </row>
    <row r="511" spans="1:18" s="75" customFormat="1" x14ac:dyDescent="0.2">
      <c r="A511" s="26"/>
      <c r="B511" s="26"/>
      <c r="C511" s="157"/>
      <c r="D511" s="157"/>
      <c r="E511" s="157"/>
      <c r="F511" s="157"/>
      <c r="G511" s="224"/>
      <c r="H511" s="157"/>
      <c r="I511" s="157"/>
      <c r="J511" s="157"/>
      <c r="K511" s="157"/>
      <c r="L511" s="38"/>
      <c r="M511" s="38"/>
      <c r="N511" s="38"/>
      <c r="O511" s="38"/>
      <c r="P511" s="38"/>
      <c r="Q511" s="38"/>
      <c r="R511" s="38"/>
    </row>
    <row r="512" spans="1:18" s="75" customFormat="1" x14ac:dyDescent="0.2">
      <c r="A512" s="26"/>
      <c r="B512" s="26"/>
      <c r="C512" s="157"/>
      <c r="D512" s="157"/>
      <c r="E512" s="157"/>
      <c r="F512" s="157"/>
      <c r="G512" s="224"/>
      <c r="H512" s="157"/>
      <c r="I512" s="157"/>
      <c r="J512" s="157"/>
      <c r="K512" s="157"/>
      <c r="L512" s="38"/>
      <c r="M512" s="38"/>
      <c r="N512" s="38"/>
      <c r="O512" s="38"/>
      <c r="P512" s="38"/>
      <c r="Q512" s="38"/>
      <c r="R512" s="38"/>
    </row>
    <row r="513" spans="1:18" s="75" customFormat="1" x14ac:dyDescent="0.2">
      <c r="A513" s="26"/>
      <c r="B513" s="26"/>
      <c r="C513" s="157"/>
      <c r="D513" s="157"/>
      <c r="E513" s="157"/>
      <c r="F513" s="157"/>
      <c r="G513" s="224"/>
      <c r="H513" s="157"/>
      <c r="I513" s="157"/>
      <c r="J513" s="157"/>
      <c r="K513" s="157"/>
      <c r="L513" s="38"/>
      <c r="M513" s="38"/>
      <c r="N513" s="38"/>
      <c r="O513" s="38"/>
      <c r="P513" s="38"/>
      <c r="Q513" s="38"/>
      <c r="R513" s="38"/>
    </row>
    <row r="514" spans="1:18" s="75" customFormat="1" x14ac:dyDescent="0.2">
      <c r="A514" s="26"/>
      <c r="B514" s="26"/>
      <c r="C514" s="157"/>
      <c r="D514" s="157"/>
      <c r="E514" s="157"/>
      <c r="F514" s="157"/>
      <c r="G514" s="224"/>
      <c r="H514" s="157"/>
      <c r="I514" s="157"/>
      <c r="J514" s="157"/>
      <c r="K514" s="157"/>
      <c r="L514" s="38"/>
      <c r="M514" s="38"/>
      <c r="N514" s="38"/>
      <c r="O514" s="38"/>
      <c r="P514" s="38"/>
      <c r="Q514" s="38"/>
      <c r="R514" s="38"/>
    </row>
    <row r="515" spans="1:18" s="75" customFormat="1" x14ac:dyDescent="0.2">
      <c r="A515" s="26"/>
      <c r="B515" s="26"/>
      <c r="C515" s="157"/>
      <c r="D515" s="157"/>
      <c r="E515" s="157"/>
      <c r="F515" s="157"/>
      <c r="G515" s="224"/>
      <c r="H515" s="157"/>
      <c r="I515" s="157"/>
      <c r="J515" s="157"/>
      <c r="K515" s="157"/>
      <c r="L515" s="38"/>
      <c r="M515" s="38"/>
      <c r="N515" s="38"/>
      <c r="O515" s="38"/>
      <c r="P515" s="38"/>
      <c r="Q515" s="38"/>
      <c r="R515" s="38"/>
    </row>
    <row r="516" spans="1:18" s="75" customFormat="1" x14ac:dyDescent="0.2">
      <c r="A516" s="26"/>
      <c r="B516" s="26"/>
      <c r="C516" s="157"/>
      <c r="D516" s="157"/>
      <c r="E516" s="157"/>
      <c r="F516" s="157"/>
      <c r="G516" s="224"/>
      <c r="H516" s="157"/>
      <c r="I516" s="157"/>
      <c r="J516" s="157"/>
      <c r="K516" s="157"/>
      <c r="L516" s="38"/>
      <c r="M516" s="38"/>
      <c r="N516" s="38"/>
      <c r="O516" s="38"/>
      <c r="P516" s="38"/>
      <c r="Q516" s="38"/>
      <c r="R516" s="38"/>
    </row>
    <row r="517" spans="1:18" s="75" customFormat="1" x14ac:dyDescent="0.2">
      <c r="A517" s="26"/>
      <c r="B517" s="26"/>
      <c r="C517" s="157"/>
      <c r="D517" s="157"/>
      <c r="E517" s="157"/>
      <c r="F517" s="157"/>
      <c r="G517" s="224"/>
      <c r="H517" s="157"/>
      <c r="I517" s="157"/>
      <c r="J517" s="157"/>
      <c r="K517" s="157"/>
      <c r="L517" s="38"/>
      <c r="M517" s="38"/>
      <c r="N517" s="38"/>
      <c r="O517" s="38"/>
      <c r="P517" s="38"/>
      <c r="Q517" s="38"/>
      <c r="R517" s="38"/>
    </row>
    <row r="518" spans="1:18" s="75" customFormat="1" x14ac:dyDescent="0.2">
      <c r="A518" s="26"/>
      <c r="B518" s="26"/>
      <c r="C518" s="157"/>
      <c r="D518" s="157"/>
      <c r="E518" s="157"/>
      <c r="F518" s="157"/>
      <c r="G518" s="224"/>
      <c r="H518" s="157"/>
      <c r="I518" s="157"/>
      <c r="J518" s="157"/>
      <c r="K518" s="157"/>
      <c r="L518" s="38"/>
      <c r="M518" s="38"/>
      <c r="N518" s="38"/>
      <c r="O518" s="38"/>
      <c r="P518" s="38"/>
      <c r="Q518" s="38"/>
      <c r="R518" s="38"/>
    </row>
    <row r="519" spans="1:18" s="75" customFormat="1" x14ac:dyDescent="0.2">
      <c r="A519" s="26"/>
      <c r="B519" s="26"/>
      <c r="C519" s="157"/>
      <c r="D519" s="157"/>
      <c r="E519" s="157"/>
      <c r="F519" s="157"/>
      <c r="G519" s="224"/>
      <c r="H519" s="157"/>
      <c r="I519" s="157"/>
      <c r="J519" s="157"/>
      <c r="K519" s="157"/>
      <c r="L519" s="38"/>
      <c r="M519" s="38"/>
      <c r="N519" s="38"/>
      <c r="O519" s="38"/>
      <c r="P519" s="38"/>
      <c r="Q519" s="38"/>
      <c r="R519" s="38"/>
    </row>
    <row r="520" spans="1:18" s="75" customFormat="1" x14ac:dyDescent="0.2">
      <c r="A520" s="26"/>
      <c r="B520" s="26"/>
      <c r="C520" s="157"/>
      <c r="D520" s="157"/>
      <c r="E520" s="157"/>
      <c r="F520" s="157"/>
      <c r="G520" s="224"/>
      <c r="H520" s="157"/>
      <c r="I520" s="157"/>
      <c r="J520" s="157"/>
      <c r="K520" s="157"/>
      <c r="L520" s="38"/>
      <c r="M520" s="38"/>
      <c r="N520" s="38"/>
      <c r="O520" s="38"/>
      <c r="P520" s="38"/>
      <c r="Q520" s="38"/>
      <c r="R520" s="38"/>
    </row>
    <row r="521" spans="1:18" s="75" customFormat="1" x14ac:dyDescent="0.2">
      <c r="A521" s="26"/>
      <c r="B521" s="26"/>
      <c r="C521" s="157"/>
      <c r="D521" s="157"/>
      <c r="E521" s="157"/>
      <c r="F521" s="157"/>
      <c r="G521" s="224"/>
      <c r="H521" s="157"/>
      <c r="I521" s="157"/>
      <c r="J521" s="157"/>
      <c r="K521" s="157"/>
      <c r="L521" s="38"/>
      <c r="M521" s="38"/>
      <c r="N521" s="38"/>
      <c r="O521" s="38"/>
      <c r="P521" s="38"/>
      <c r="Q521" s="38"/>
      <c r="R521" s="38"/>
    </row>
    <row r="522" spans="1:18" s="75" customFormat="1" x14ac:dyDescent="0.2">
      <c r="A522" s="26"/>
      <c r="B522" s="26"/>
      <c r="C522" s="157"/>
      <c r="D522" s="157"/>
      <c r="E522" s="157"/>
      <c r="F522" s="157"/>
      <c r="G522" s="224"/>
      <c r="H522" s="157"/>
      <c r="I522" s="157"/>
      <c r="J522" s="157"/>
      <c r="K522" s="157"/>
      <c r="L522" s="38"/>
      <c r="M522" s="38"/>
      <c r="N522" s="38"/>
      <c r="O522" s="38"/>
      <c r="P522" s="38"/>
      <c r="Q522" s="38"/>
      <c r="R522" s="38"/>
    </row>
    <row r="523" spans="1:18" s="75" customFormat="1" x14ac:dyDescent="0.2">
      <c r="A523" s="26"/>
      <c r="B523" s="26"/>
      <c r="C523" s="157"/>
      <c r="D523" s="157"/>
      <c r="E523" s="157"/>
      <c r="F523" s="157"/>
      <c r="G523" s="224"/>
      <c r="H523" s="157"/>
      <c r="I523" s="157"/>
      <c r="J523" s="157"/>
      <c r="K523" s="157"/>
      <c r="L523" s="38"/>
      <c r="M523" s="38"/>
      <c r="N523" s="38"/>
      <c r="O523" s="38"/>
      <c r="P523" s="38"/>
      <c r="Q523" s="38"/>
      <c r="R523" s="38"/>
    </row>
    <row r="524" spans="1:18" s="75" customFormat="1" x14ac:dyDescent="0.2">
      <c r="A524" s="26"/>
      <c r="B524" s="26"/>
      <c r="C524" s="157"/>
      <c r="D524" s="157"/>
      <c r="E524" s="157"/>
      <c r="F524" s="157"/>
      <c r="G524" s="224"/>
      <c r="H524" s="157"/>
      <c r="I524" s="157"/>
      <c r="J524" s="157"/>
      <c r="K524" s="157"/>
      <c r="L524" s="38"/>
      <c r="M524" s="38"/>
      <c r="N524" s="38"/>
      <c r="O524" s="38"/>
      <c r="P524" s="38"/>
      <c r="Q524" s="38"/>
      <c r="R524" s="38"/>
    </row>
    <row r="525" spans="1:18" s="75" customFormat="1" x14ac:dyDescent="0.2">
      <c r="A525" s="26"/>
      <c r="B525" s="26"/>
      <c r="C525" s="157"/>
      <c r="D525" s="157"/>
      <c r="E525" s="157"/>
      <c r="F525" s="157"/>
      <c r="G525" s="224"/>
      <c r="H525" s="157"/>
      <c r="I525" s="157"/>
      <c r="J525" s="157"/>
      <c r="K525" s="157"/>
      <c r="L525" s="38"/>
      <c r="M525" s="38"/>
      <c r="N525" s="38"/>
      <c r="O525" s="38"/>
      <c r="P525" s="38"/>
      <c r="Q525" s="38"/>
      <c r="R525" s="38"/>
    </row>
    <row r="526" spans="1:18" s="75" customFormat="1" x14ac:dyDescent="0.2">
      <c r="A526" s="26"/>
      <c r="B526" s="26"/>
      <c r="C526" s="157"/>
      <c r="D526" s="157"/>
      <c r="E526" s="157"/>
      <c r="F526" s="157"/>
      <c r="G526" s="224"/>
      <c r="H526" s="157"/>
      <c r="I526" s="157"/>
      <c r="J526" s="157"/>
      <c r="K526" s="157"/>
      <c r="L526" s="38"/>
      <c r="M526" s="38"/>
      <c r="N526" s="38"/>
      <c r="O526" s="38"/>
      <c r="P526" s="38"/>
      <c r="Q526" s="38"/>
      <c r="R526" s="38"/>
    </row>
    <row r="527" spans="1:18" s="75" customFormat="1" x14ac:dyDescent="0.2">
      <c r="A527" s="26"/>
      <c r="B527" s="26"/>
      <c r="C527" s="157"/>
      <c r="D527" s="157"/>
      <c r="E527" s="157"/>
      <c r="F527" s="157"/>
      <c r="G527" s="224"/>
      <c r="H527" s="157"/>
      <c r="I527" s="157"/>
      <c r="J527" s="157"/>
      <c r="K527" s="157"/>
      <c r="L527" s="38"/>
      <c r="M527" s="38"/>
      <c r="N527" s="38"/>
      <c r="O527" s="38"/>
      <c r="P527" s="38"/>
      <c r="Q527" s="38"/>
      <c r="R527" s="38"/>
    </row>
    <row r="528" spans="1:18" s="75" customFormat="1" x14ac:dyDescent="0.2">
      <c r="A528" s="26"/>
      <c r="B528" s="26"/>
      <c r="C528" s="157"/>
      <c r="D528" s="157"/>
      <c r="E528" s="157"/>
      <c r="F528" s="157"/>
      <c r="G528" s="224"/>
      <c r="H528" s="157"/>
      <c r="I528" s="157"/>
      <c r="J528" s="157"/>
      <c r="K528" s="157"/>
      <c r="L528" s="38"/>
      <c r="M528" s="38"/>
      <c r="N528" s="38"/>
      <c r="O528" s="38"/>
      <c r="P528" s="38"/>
      <c r="Q528" s="38"/>
      <c r="R528" s="38"/>
    </row>
    <row r="529" spans="1:18" s="75" customFormat="1" x14ac:dyDescent="0.2">
      <c r="A529" s="26"/>
      <c r="B529" s="26"/>
      <c r="C529" s="157"/>
      <c r="D529" s="157"/>
      <c r="E529" s="157"/>
      <c r="F529" s="157"/>
      <c r="G529" s="224"/>
      <c r="H529" s="157"/>
      <c r="I529" s="157"/>
      <c r="J529" s="157"/>
      <c r="K529" s="157"/>
      <c r="L529" s="38"/>
      <c r="M529" s="38"/>
      <c r="N529" s="38"/>
      <c r="O529" s="38"/>
      <c r="P529" s="38"/>
      <c r="Q529" s="38"/>
      <c r="R529" s="38"/>
    </row>
    <row r="530" spans="1:18" s="75" customFormat="1" x14ac:dyDescent="0.2">
      <c r="A530" s="26"/>
      <c r="B530" s="26"/>
      <c r="C530" s="157"/>
      <c r="D530" s="157"/>
      <c r="E530" s="157"/>
      <c r="F530" s="157"/>
      <c r="G530" s="224"/>
      <c r="H530" s="157"/>
      <c r="I530" s="157"/>
      <c r="J530" s="157"/>
      <c r="K530" s="157"/>
      <c r="L530" s="38"/>
      <c r="M530" s="38"/>
      <c r="N530" s="38"/>
      <c r="O530" s="38"/>
      <c r="P530" s="38"/>
      <c r="Q530" s="38"/>
      <c r="R530" s="38"/>
    </row>
    <row r="531" spans="1:18" s="75" customFormat="1" x14ac:dyDescent="0.2">
      <c r="A531" s="26"/>
      <c r="B531" s="26"/>
      <c r="C531" s="157"/>
      <c r="D531" s="157"/>
      <c r="E531" s="157"/>
      <c r="F531" s="157"/>
      <c r="G531" s="224"/>
      <c r="H531" s="157"/>
      <c r="I531" s="157"/>
      <c r="J531" s="157"/>
      <c r="K531" s="157"/>
      <c r="L531" s="38"/>
      <c r="M531" s="38"/>
      <c r="N531" s="38"/>
      <c r="O531" s="38"/>
      <c r="P531" s="38"/>
      <c r="Q531" s="38"/>
      <c r="R531" s="38"/>
    </row>
    <row r="532" spans="1:18" s="75" customFormat="1" x14ac:dyDescent="0.2">
      <c r="A532" s="26"/>
      <c r="B532" s="26"/>
      <c r="C532" s="157"/>
      <c r="D532" s="157"/>
      <c r="E532" s="157"/>
      <c r="F532" s="157"/>
      <c r="G532" s="224"/>
      <c r="H532" s="157"/>
      <c r="I532" s="157"/>
      <c r="J532" s="157"/>
      <c r="K532" s="157"/>
      <c r="L532" s="38"/>
      <c r="M532" s="38"/>
      <c r="N532" s="38"/>
      <c r="O532" s="38"/>
      <c r="P532" s="38"/>
      <c r="Q532" s="38"/>
      <c r="R532" s="38"/>
    </row>
    <row r="533" spans="1:18" s="75" customFormat="1" x14ac:dyDescent="0.2">
      <c r="A533" s="26"/>
      <c r="B533" s="26"/>
      <c r="C533" s="157"/>
      <c r="D533" s="157"/>
      <c r="E533" s="157"/>
      <c r="F533" s="157"/>
      <c r="G533" s="224"/>
      <c r="H533" s="157"/>
      <c r="I533" s="157"/>
      <c r="J533" s="157"/>
      <c r="K533" s="157"/>
      <c r="L533" s="38"/>
      <c r="M533" s="38"/>
      <c r="N533" s="38"/>
      <c r="O533" s="38"/>
      <c r="P533" s="38"/>
      <c r="Q533" s="38"/>
      <c r="R533" s="38"/>
    </row>
    <row r="534" spans="1:18" s="75" customFormat="1" x14ac:dyDescent="0.2">
      <c r="A534" s="26"/>
      <c r="B534" s="26"/>
      <c r="C534" s="157"/>
      <c r="D534" s="157"/>
      <c r="E534" s="157"/>
      <c r="F534" s="157"/>
      <c r="G534" s="224"/>
      <c r="H534" s="157"/>
      <c r="I534" s="157"/>
      <c r="J534" s="157"/>
      <c r="K534" s="157"/>
      <c r="L534" s="38"/>
      <c r="M534" s="38"/>
      <c r="N534" s="38"/>
      <c r="O534" s="38"/>
      <c r="P534" s="38"/>
      <c r="Q534" s="38"/>
      <c r="R534" s="38"/>
    </row>
    <row r="535" spans="1:18" s="75" customFormat="1" x14ac:dyDescent="0.2">
      <c r="A535" s="26"/>
      <c r="B535" s="26"/>
      <c r="C535" s="157"/>
      <c r="D535" s="157"/>
      <c r="E535" s="157"/>
      <c r="F535" s="157"/>
      <c r="G535" s="224"/>
      <c r="H535" s="157"/>
      <c r="I535" s="157"/>
      <c r="J535" s="157"/>
      <c r="K535" s="157"/>
      <c r="L535" s="38"/>
      <c r="M535" s="38"/>
      <c r="N535" s="38"/>
      <c r="O535" s="38"/>
      <c r="P535" s="38"/>
      <c r="Q535" s="38"/>
      <c r="R535" s="38"/>
    </row>
    <row r="536" spans="1:18" s="75" customFormat="1" x14ac:dyDescent="0.2">
      <c r="A536" s="26"/>
      <c r="B536" s="26"/>
      <c r="C536" s="157"/>
      <c r="D536" s="157"/>
      <c r="E536" s="157"/>
      <c r="F536" s="157"/>
      <c r="G536" s="224"/>
      <c r="H536" s="157"/>
      <c r="I536" s="157"/>
      <c r="J536" s="157"/>
      <c r="K536" s="157"/>
      <c r="L536" s="38"/>
      <c r="M536" s="38"/>
      <c r="N536" s="38"/>
      <c r="O536" s="38"/>
      <c r="P536" s="38"/>
      <c r="Q536" s="38"/>
      <c r="R536" s="38"/>
    </row>
    <row r="537" spans="1:18" s="75" customFormat="1" x14ac:dyDescent="0.2">
      <c r="A537" s="26"/>
      <c r="B537" s="26"/>
      <c r="C537" s="157"/>
      <c r="D537" s="157"/>
      <c r="E537" s="157"/>
      <c r="F537" s="157"/>
      <c r="G537" s="224"/>
      <c r="H537" s="157"/>
      <c r="I537" s="157"/>
      <c r="J537" s="157"/>
      <c r="K537" s="157"/>
      <c r="L537" s="38"/>
      <c r="M537" s="38"/>
      <c r="N537" s="38"/>
      <c r="O537" s="38"/>
      <c r="P537" s="38"/>
      <c r="Q537" s="38"/>
      <c r="R537" s="38"/>
    </row>
    <row r="538" spans="1:18" s="75" customFormat="1" x14ac:dyDescent="0.2">
      <c r="A538" s="26"/>
      <c r="B538" s="26"/>
      <c r="C538" s="157"/>
      <c r="D538" s="157"/>
      <c r="E538" s="157"/>
      <c r="F538" s="157"/>
      <c r="G538" s="224"/>
      <c r="H538" s="157"/>
      <c r="I538" s="157"/>
      <c r="J538" s="157"/>
      <c r="K538" s="157"/>
      <c r="L538" s="38"/>
      <c r="M538" s="38"/>
      <c r="N538" s="38"/>
      <c r="O538" s="38"/>
      <c r="P538" s="38"/>
      <c r="Q538" s="38"/>
      <c r="R538" s="38"/>
    </row>
    <row r="539" spans="1:18" s="75" customFormat="1" x14ac:dyDescent="0.2">
      <c r="A539" s="26"/>
      <c r="B539" s="26"/>
      <c r="C539" s="157"/>
      <c r="D539" s="157"/>
      <c r="E539" s="157"/>
      <c r="F539" s="157"/>
      <c r="G539" s="224"/>
      <c r="H539" s="157"/>
      <c r="I539" s="157"/>
      <c r="J539" s="157"/>
      <c r="K539" s="157"/>
      <c r="L539" s="38"/>
      <c r="M539" s="38"/>
      <c r="N539" s="38"/>
      <c r="O539" s="38"/>
      <c r="P539" s="38"/>
      <c r="Q539" s="38"/>
      <c r="R539" s="38"/>
    </row>
    <row r="540" spans="1:18" s="75" customFormat="1" x14ac:dyDescent="0.2">
      <c r="A540" s="26"/>
      <c r="B540" s="26"/>
      <c r="C540" s="157"/>
      <c r="D540" s="157"/>
      <c r="E540" s="157"/>
      <c r="F540" s="157"/>
      <c r="G540" s="224"/>
      <c r="H540" s="157"/>
      <c r="I540" s="157"/>
      <c r="J540" s="157"/>
      <c r="K540" s="157"/>
      <c r="L540" s="38"/>
      <c r="M540" s="38"/>
      <c r="N540" s="38"/>
      <c r="O540" s="38"/>
      <c r="P540" s="38"/>
      <c r="Q540" s="38"/>
      <c r="R540" s="38"/>
    </row>
    <row r="541" spans="1:18" s="75" customFormat="1" x14ac:dyDescent="0.2">
      <c r="A541" s="26"/>
      <c r="B541" s="26"/>
      <c r="C541" s="157"/>
      <c r="D541" s="157"/>
      <c r="E541" s="157"/>
      <c r="F541" s="157"/>
      <c r="G541" s="224"/>
      <c r="H541" s="157"/>
      <c r="I541" s="157"/>
      <c r="J541" s="157"/>
      <c r="K541" s="157"/>
      <c r="L541" s="38"/>
      <c r="M541" s="38"/>
      <c r="N541" s="38"/>
      <c r="O541" s="38"/>
      <c r="P541" s="38"/>
      <c r="Q541" s="38"/>
      <c r="R541" s="38"/>
    </row>
    <row r="542" spans="1:18" s="75" customFormat="1" x14ac:dyDescent="0.2">
      <c r="A542" s="26"/>
      <c r="B542" s="26"/>
      <c r="C542" s="157"/>
      <c r="D542" s="157"/>
      <c r="E542" s="157"/>
      <c r="F542" s="157"/>
      <c r="G542" s="224"/>
      <c r="H542" s="157"/>
      <c r="I542" s="157"/>
      <c r="J542" s="157"/>
      <c r="K542" s="157"/>
      <c r="L542" s="38"/>
      <c r="M542" s="38"/>
      <c r="N542" s="38"/>
      <c r="O542" s="38"/>
      <c r="P542" s="38"/>
      <c r="Q542" s="38"/>
      <c r="R542" s="38"/>
    </row>
    <row r="543" spans="1:18" s="75" customFormat="1" x14ac:dyDescent="0.2">
      <c r="A543" s="26"/>
      <c r="B543" s="26"/>
      <c r="C543" s="157"/>
      <c r="D543" s="157"/>
      <c r="E543" s="157"/>
      <c r="F543" s="157"/>
      <c r="G543" s="224"/>
      <c r="H543" s="157"/>
      <c r="I543" s="157"/>
      <c r="J543" s="157"/>
      <c r="K543" s="157"/>
      <c r="L543" s="38"/>
      <c r="M543" s="38"/>
      <c r="N543" s="38"/>
      <c r="O543" s="38"/>
      <c r="P543" s="38"/>
      <c r="Q543" s="38"/>
      <c r="R543" s="38"/>
    </row>
    <row r="544" spans="1:18" s="75" customFormat="1" x14ac:dyDescent="0.2">
      <c r="A544" s="26"/>
      <c r="B544" s="26"/>
      <c r="C544" s="157"/>
      <c r="D544" s="157"/>
      <c r="E544" s="157"/>
      <c r="F544" s="157"/>
      <c r="G544" s="224"/>
      <c r="H544" s="157"/>
      <c r="I544" s="157"/>
      <c r="J544" s="157"/>
      <c r="K544" s="157"/>
      <c r="L544" s="38"/>
      <c r="M544" s="38"/>
      <c r="N544" s="38"/>
      <c r="O544" s="38"/>
      <c r="P544" s="38"/>
      <c r="Q544" s="38"/>
      <c r="R544" s="38"/>
    </row>
    <row r="545" spans="1:18" s="75" customFormat="1" x14ac:dyDescent="0.2">
      <c r="A545" s="26"/>
      <c r="B545" s="26"/>
      <c r="C545" s="157"/>
      <c r="D545" s="157"/>
      <c r="E545" s="157"/>
      <c r="F545" s="157"/>
      <c r="G545" s="224"/>
      <c r="H545" s="157"/>
      <c r="I545" s="157"/>
      <c r="J545" s="157"/>
      <c r="K545" s="157"/>
      <c r="L545" s="38"/>
      <c r="M545" s="38"/>
      <c r="N545" s="38"/>
      <c r="O545" s="38"/>
      <c r="P545" s="38"/>
      <c r="Q545" s="38"/>
      <c r="R545" s="38"/>
    </row>
    <row r="546" spans="1:18" s="75" customFormat="1" x14ac:dyDescent="0.2">
      <c r="A546" s="26"/>
      <c r="B546" s="26"/>
      <c r="C546" s="157"/>
      <c r="D546" s="157"/>
      <c r="E546" s="157"/>
      <c r="F546" s="157"/>
      <c r="G546" s="224"/>
      <c r="H546" s="157"/>
      <c r="I546" s="157"/>
      <c r="J546" s="157"/>
      <c r="K546" s="157"/>
      <c r="L546" s="38"/>
      <c r="M546" s="38"/>
      <c r="N546" s="38"/>
      <c r="O546" s="38"/>
      <c r="P546" s="38"/>
      <c r="Q546" s="38"/>
      <c r="R546" s="38"/>
    </row>
    <row r="547" spans="1:18" s="75" customFormat="1" x14ac:dyDescent="0.2">
      <c r="A547" s="26"/>
      <c r="B547" s="26"/>
      <c r="C547" s="157"/>
      <c r="D547" s="157"/>
      <c r="E547" s="157"/>
      <c r="F547" s="157"/>
      <c r="G547" s="224"/>
      <c r="H547" s="157"/>
      <c r="I547" s="157"/>
      <c r="J547" s="157"/>
      <c r="K547" s="157"/>
      <c r="L547" s="38"/>
      <c r="M547" s="38"/>
      <c r="N547" s="38"/>
      <c r="O547" s="38"/>
      <c r="P547" s="38"/>
      <c r="Q547" s="38"/>
      <c r="R547" s="38"/>
    </row>
    <row r="548" spans="1:18" s="75" customFormat="1" x14ac:dyDescent="0.2">
      <c r="A548" s="26"/>
      <c r="B548" s="26"/>
      <c r="C548" s="157"/>
      <c r="D548" s="157"/>
      <c r="E548" s="157"/>
      <c r="F548" s="157"/>
      <c r="G548" s="224"/>
      <c r="H548" s="157"/>
      <c r="I548" s="157"/>
      <c r="J548" s="157"/>
      <c r="K548" s="157"/>
      <c r="L548" s="38"/>
      <c r="M548" s="38"/>
      <c r="N548" s="38"/>
      <c r="O548" s="38"/>
      <c r="P548" s="38"/>
      <c r="Q548" s="38"/>
      <c r="R548" s="38"/>
    </row>
    <row r="549" spans="1:18" s="75" customFormat="1" x14ac:dyDescent="0.2">
      <c r="A549" s="26"/>
      <c r="B549" s="26"/>
      <c r="C549" s="157"/>
      <c r="D549" s="157"/>
      <c r="E549" s="157"/>
      <c r="F549" s="157"/>
      <c r="G549" s="224"/>
      <c r="H549" s="157"/>
      <c r="I549" s="157"/>
      <c r="J549" s="157"/>
      <c r="K549" s="157"/>
      <c r="L549" s="38"/>
      <c r="M549" s="38"/>
      <c r="N549" s="38"/>
      <c r="O549" s="38"/>
      <c r="P549" s="38"/>
      <c r="Q549" s="38"/>
      <c r="R549" s="38"/>
    </row>
    <row r="550" spans="1:18" s="75" customFormat="1" x14ac:dyDescent="0.2">
      <c r="A550" s="26"/>
      <c r="B550" s="26"/>
      <c r="C550" s="157"/>
      <c r="D550" s="157"/>
      <c r="E550" s="157"/>
      <c r="F550" s="157"/>
      <c r="G550" s="224"/>
      <c r="H550" s="157"/>
      <c r="I550" s="157"/>
      <c r="J550" s="157"/>
      <c r="K550" s="157"/>
      <c r="L550" s="38"/>
      <c r="M550" s="38"/>
      <c r="N550" s="38"/>
      <c r="O550" s="38"/>
      <c r="P550" s="38"/>
      <c r="Q550" s="38"/>
      <c r="R550" s="38"/>
    </row>
    <row r="551" spans="1:18" s="75" customFormat="1" x14ac:dyDescent="0.2">
      <c r="A551" s="26"/>
      <c r="B551" s="26"/>
      <c r="C551" s="157"/>
      <c r="D551" s="157"/>
      <c r="E551" s="157"/>
      <c r="F551" s="157"/>
      <c r="G551" s="224"/>
      <c r="H551" s="157"/>
      <c r="I551" s="157"/>
      <c r="J551" s="157"/>
      <c r="K551" s="157"/>
      <c r="L551" s="38"/>
      <c r="M551" s="38"/>
      <c r="N551" s="38"/>
      <c r="O551" s="38"/>
      <c r="P551" s="38"/>
      <c r="Q551" s="38"/>
      <c r="R551" s="38"/>
    </row>
    <row r="552" spans="1:18" s="75" customFormat="1" x14ac:dyDescent="0.2">
      <c r="A552" s="26"/>
      <c r="B552" s="26"/>
      <c r="C552" s="157"/>
      <c r="D552" s="157"/>
      <c r="E552" s="157"/>
      <c r="F552" s="157"/>
      <c r="G552" s="224"/>
      <c r="H552" s="157"/>
      <c r="I552" s="157"/>
      <c r="J552" s="157"/>
      <c r="K552" s="157"/>
      <c r="L552" s="38"/>
      <c r="M552" s="38"/>
      <c r="N552" s="38"/>
      <c r="O552" s="38"/>
      <c r="P552" s="38"/>
      <c r="Q552" s="38"/>
      <c r="R552" s="38"/>
    </row>
    <row r="553" spans="1:18" s="75" customFormat="1" x14ac:dyDescent="0.2">
      <c r="A553" s="26"/>
      <c r="B553" s="26"/>
      <c r="C553" s="157"/>
      <c r="D553" s="157"/>
      <c r="E553" s="157"/>
      <c r="F553" s="157"/>
      <c r="G553" s="224"/>
      <c r="H553" s="157"/>
      <c r="I553" s="157"/>
      <c r="J553" s="157"/>
      <c r="K553" s="157"/>
      <c r="L553" s="38"/>
      <c r="M553" s="38"/>
      <c r="N553" s="38"/>
      <c r="O553" s="38"/>
      <c r="P553" s="38"/>
      <c r="Q553" s="38"/>
      <c r="R553" s="38"/>
    </row>
    <row r="554" spans="1:18" s="75" customFormat="1" x14ac:dyDescent="0.2">
      <c r="A554" s="26"/>
      <c r="B554" s="26"/>
      <c r="C554" s="157"/>
      <c r="D554" s="157"/>
      <c r="E554" s="157"/>
      <c r="F554" s="157"/>
      <c r="G554" s="224"/>
      <c r="H554" s="157"/>
      <c r="I554" s="157"/>
      <c r="J554" s="157"/>
      <c r="K554" s="157"/>
      <c r="L554" s="38"/>
      <c r="M554" s="38"/>
      <c r="N554" s="38"/>
      <c r="O554" s="38"/>
      <c r="P554" s="38"/>
      <c r="Q554" s="38"/>
      <c r="R554" s="38"/>
    </row>
    <row r="555" spans="1:18" s="75" customFormat="1" x14ac:dyDescent="0.2">
      <c r="A555" s="26"/>
      <c r="B555" s="26"/>
      <c r="C555" s="157"/>
      <c r="D555" s="157"/>
      <c r="E555" s="157"/>
      <c r="F555" s="157"/>
      <c r="G555" s="224"/>
      <c r="H555" s="157"/>
      <c r="I555" s="157"/>
      <c r="J555" s="157"/>
      <c r="K555" s="157"/>
      <c r="L555" s="38"/>
      <c r="M555" s="38"/>
      <c r="N555" s="38"/>
      <c r="O555" s="38"/>
      <c r="P555" s="38"/>
      <c r="Q555" s="38"/>
      <c r="R555" s="38"/>
    </row>
    <row r="556" spans="1:18" s="75" customFormat="1" x14ac:dyDescent="0.2">
      <c r="A556" s="26"/>
      <c r="B556" s="26"/>
      <c r="C556" s="157"/>
      <c r="D556" s="157"/>
      <c r="E556" s="157"/>
      <c r="F556" s="157"/>
      <c r="G556" s="224"/>
      <c r="H556" s="157"/>
      <c r="I556" s="157"/>
      <c r="J556" s="157"/>
      <c r="K556" s="157"/>
      <c r="L556" s="38"/>
      <c r="M556" s="38"/>
      <c r="N556" s="38"/>
      <c r="O556" s="38"/>
      <c r="P556" s="38"/>
      <c r="Q556" s="38"/>
      <c r="R556" s="38"/>
    </row>
    <row r="557" spans="1:18" s="75" customFormat="1" x14ac:dyDescent="0.2">
      <c r="A557" s="26"/>
      <c r="B557" s="26"/>
      <c r="C557" s="157"/>
      <c r="D557" s="157"/>
      <c r="E557" s="157"/>
      <c r="F557" s="157"/>
      <c r="G557" s="224"/>
      <c r="H557" s="157"/>
      <c r="I557" s="157"/>
      <c r="J557" s="157"/>
      <c r="K557" s="157"/>
      <c r="L557" s="38"/>
      <c r="M557" s="38"/>
      <c r="N557" s="38"/>
      <c r="O557" s="38"/>
      <c r="P557" s="38"/>
      <c r="Q557" s="38"/>
      <c r="R557" s="38"/>
    </row>
    <row r="558" spans="1:18" s="75" customFormat="1" x14ac:dyDescent="0.2">
      <c r="A558" s="26"/>
      <c r="B558" s="26"/>
      <c r="C558" s="157"/>
      <c r="D558" s="157"/>
      <c r="E558" s="157"/>
      <c r="F558" s="157"/>
      <c r="G558" s="224"/>
      <c r="H558" s="157"/>
      <c r="I558" s="157"/>
      <c r="J558" s="157"/>
      <c r="K558" s="157"/>
      <c r="L558" s="38"/>
      <c r="M558" s="38"/>
      <c r="N558" s="38"/>
      <c r="O558" s="38"/>
      <c r="P558" s="38"/>
      <c r="Q558" s="38"/>
      <c r="R558" s="38"/>
    </row>
    <row r="559" spans="1:18" s="75" customFormat="1" x14ac:dyDescent="0.2">
      <c r="A559" s="26"/>
      <c r="B559" s="26"/>
      <c r="C559" s="157"/>
      <c r="D559" s="157"/>
      <c r="E559" s="157"/>
      <c r="F559" s="157"/>
      <c r="G559" s="224"/>
      <c r="H559" s="157"/>
      <c r="I559" s="157"/>
      <c r="J559" s="157"/>
      <c r="K559" s="157"/>
      <c r="L559" s="38"/>
      <c r="M559" s="38"/>
      <c r="N559" s="38"/>
      <c r="O559" s="38"/>
      <c r="P559" s="38"/>
      <c r="Q559" s="38"/>
      <c r="R559" s="38"/>
    </row>
    <row r="560" spans="1:18" s="75" customFormat="1" x14ac:dyDescent="0.2">
      <c r="A560" s="26"/>
      <c r="B560" s="26"/>
      <c r="C560" s="157"/>
      <c r="D560" s="157"/>
      <c r="E560" s="157"/>
      <c r="F560" s="157"/>
      <c r="G560" s="224"/>
      <c r="H560" s="157"/>
      <c r="I560" s="157"/>
      <c r="J560" s="157"/>
      <c r="K560" s="157"/>
      <c r="L560" s="38"/>
      <c r="M560" s="38"/>
      <c r="N560" s="38"/>
      <c r="O560" s="38"/>
      <c r="P560" s="38"/>
      <c r="Q560" s="38"/>
      <c r="R560" s="38"/>
    </row>
    <row r="561" spans="1:18" s="75" customFormat="1" x14ac:dyDescent="0.2">
      <c r="A561" s="26"/>
      <c r="B561" s="26"/>
      <c r="C561" s="157"/>
      <c r="D561" s="157"/>
      <c r="E561" s="157"/>
      <c r="F561" s="157"/>
      <c r="G561" s="224"/>
      <c r="H561" s="157"/>
      <c r="I561" s="157"/>
      <c r="J561" s="157"/>
      <c r="K561" s="157"/>
      <c r="L561" s="38"/>
      <c r="M561" s="38"/>
      <c r="N561" s="38"/>
      <c r="O561" s="38"/>
      <c r="P561" s="38"/>
      <c r="Q561" s="38"/>
      <c r="R561" s="38"/>
    </row>
    <row r="562" spans="1:18" s="75" customFormat="1" x14ac:dyDescent="0.2">
      <c r="A562" s="26"/>
      <c r="B562" s="26"/>
      <c r="C562" s="157"/>
      <c r="D562" s="157"/>
      <c r="E562" s="157"/>
      <c r="F562" s="157"/>
      <c r="G562" s="224"/>
      <c r="H562" s="157"/>
      <c r="I562" s="157"/>
      <c r="J562" s="157"/>
      <c r="K562" s="157"/>
      <c r="L562" s="38"/>
      <c r="M562" s="38"/>
      <c r="N562" s="38"/>
      <c r="O562" s="38"/>
      <c r="P562" s="38"/>
      <c r="Q562" s="38"/>
      <c r="R562" s="38"/>
    </row>
    <row r="563" spans="1:18" s="75" customFormat="1" x14ac:dyDescent="0.2">
      <c r="A563" s="26"/>
      <c r="B563" s="26"/>
      <c r="C563" s="157"/>
      <c r="D563" s="157"/>
      <c r="E563" s="157"/>
      <c r="F563" s="157"/>
      <c r="G563" s="224"/>
      <c r="H563" s="157"/>
      <c r="I563" s="157"/>
      <c r="J563" s="157"/>
      <c r="K563" s="157"/>
      <c r="L563" s="38"/>
      <c r="M563" s="38"/>
      <c r="N563" s="38"/>
      <c r="O563" s="38"/>
      <c r="P563" s="38"/>
      <c r="Q563" s="38"/>
      <c r="R563" s="38"/>
    </row>
    <row r="564" spans="1:18" s="75" customFormat="1" x14ac:dyDescent="0.2">
      <c r="A564" s="26"/>
      <c r="B564" s="26"/>
      <c r="C564" s="157"/>
      <c r="D564" s="157"/>
      <c r="E564" s="157"/>
      <c r="F564" s="157"/>
      <c r="G564" s="224"/>
      <c r="H564" s="157"/>
      <c r="I564" s="157"/>
      <c r="J564" s="157"/>
      <c r="K564" s="157"/>
      <c r="L564" s="38"/>
      <c r="M564" s="38"/>
      <c r="N564" s="38"/>
      <c r="O564" s="38"/>
      <c r="P564" s="38"/>
      <c r="Q564" s="38"/>
      <c r="R564" s="38"/>
    </row>
    <row r="565" spans="1:18" s="75" customFormat="1" x14ac:dyDescent="0.2">
      <c r="A565" s="26"/>
      <c r="B565" s="26"/>
      <c r="C565" s="157"/>
      <c r="D565" s="157"/>
      <c r="E565" s="157"/>
      <c r="F565" s="157"/>
      <c r="G565" s="224"/>
      <c r="H565" s="157"/>
      <c r="I565" s="157"/>
      <c r="J565" s="157"/>
      <c r="K565" s="157"/>
      <c r="L565" s="38"/>
      <c r="M565" s="38"/>
      <c r="N565" s="38"/>
      <c r="O565" s="38"/>
      <c r="P565" s="38"/>
      <c r="Q565" s="38"/>
      <c r="R565" s="38"/>
    </row>
    <row r="566" spans="1:18" s="75" customFormat="1" x14ac:dyDescent="0.2">
      <c r="A566" s="26"/>
      <c r="B566" s="26"/>
      <c r="C566" s="157"/>
      <c r="D566" s="157"/>
      <c r="E566" s="157"/>
      <c r="F566" s="157"/>
      <c r="G566" s="224"/>
      <c r="H566" s="157"/>
      <c r="I566" s="157"/>
      <c r="J566" s="157"/>
      <c r="K566" s="157"/>
      <c r="L566" s="38"/>
      <c r="M566" s="38"/>
      <c r="N566" s="38"/>
      <c r="O566" s="38"/>
      <c r="P566" s="38"/>
      <c r="Q566" s="38"/>
      <c r="R566" s="38"/>
    </row>
    <row r="567" spans="1:18" s="75" customFormat="1" x14ac:dyDescent="0.2">
      <c r="A567" s="26"/>
      <c r="B567" s="26"/>
      <c r="C567" s="157"/>
      <c r="D567" s="157"/>
      <c r="E567" s="157"/>
      <c r="F567" s="157"/>
      <c r="G567" s="224"/>
      <c r="H567" s="157"/>
      <c r="I567" s="157"/>
      <c r="J567" s="157"/>
      <c r="K567" s="157"/>
      <c r="L567" s="38"/>
      <c r="M567" s="38"/>
      <c r="N567" s="38"/>
      <c r="O567" s="38"/>
      <c r="P567" s="38"/>
      <c r="Q567" s="38"/>
      <c r="R567" s="38"/>
    </row>
    <row r="568" spans="1:18" s="75" customFormat="1" x14ac:dyDescent="0.2">
      <c r="A568" s="26"/>
      <c r="B568" s="26"/>
      <c r="C568" s="157"/>
      <c r="D568" s="157"/>
      <c r="E568" s="157"/>
      <c r="F568" s="157"/>
      <c r="G568" s="224"/>
      <c r="H568" s="157"/>
      <c r="I568" s="157"/>
      <c r="J568" s="157"/>
      <c r="K568" s="157"/>
      <c r="L568" s="38"/>
      <c r="M568" s="38"/>
      <c r="N568" s="38"/>
      <c r="O568" s="38"/>
      <c r="P568" s="38"/>
      <c r="Q568" s="38"/>
      <c r="R568" s="38"/>
    </row>
    <row r="569" spans="1:18" s="75" customFormat="1" x14ac:dyDescent="0.2">
      <c r="A569" s="26"/>
      <c r="B569" s="26"/>
      <c r="C569" s="157"/>
      <c r="D569" s="157"/>
      <c r="E569" s="157"/>
      <c r="F569" s="157"/>
      <c r="G569" s="224"/>
      <c r="H569" s="157"/>
      <c r="I569" s="157"/>
      <c r="J569" s="157"/>
      <c r="K569" s="157"/>
      <c r="L569" s="38"/>
      <c r="M569" s="38"/>
      <c r="N569" s="38"/>
      <c r="O569" s="38"/>
      <c r="P569" s="38"/>
      <c r="Q569" s="38"/>
      <c r="R569" s="38"/>
    </row>
    <row r="570" spans="1:18" s="75" customFormat="1" x14ac:dyDescent="0.2">
      <c r="A570" s="26"/>
      <c r="B570" s="26"/>
      <c r="C570" s="157"/>
      <c r="D570" s="157"/>
      <c r="E570" s="157"/>
      <c r="F570" s="157"/>
      <c r="G570" s="224"/>
      <c r="H570" s="157"/>
      <c r="I570" s="157"/>
      <c r="J570" s="157"/>
      <c r="K570" s="157"/>
      <c r="L570" s="38"/>
      <c r="M570" s="38"/>
      <c r="N570" s="38"/>
      <c r="O570" s="38"/>
      <c r="P570" s="38"/>
      <c r="Q570" s="38"/>
      <c r="R570" s="38"/>
    </row>
    <row r="571" spans="1:18" s="75" customFormat="1" x14ac:dyDescent="0.2">
      <c r="A571" s="26"/>
      <c r="B571" s="26"/>
      <c r="C571" s="157"/>
      <c r="D571" s="157"/>
      <c r="E571" s="157"/>
      <c r="F571" s="157"/>
      <c r="G571" s="224"/>
      <c r="H571" s="157"/>
      <c r="I571" s="157"/>
      <c r="J571" s="157"/>
      <c r="K571" s="157"/>
      <c r="L571" s="38"/>
      <c r="M571" s="38"/>
      <c r="N571" s="38"/>
      <c r="O571" s="38"/>
      <c r="P571" s="38"/>
      <c r="Q571" s="38"/>
      <c r="R571" s="38"/>
    </row>
    <row r="572" spans="1:18" s="75" customFormat="1" x14ac:dyDescent="0.2">
      <c r="A572" s="26"/>
      <c r="B572" s="26"/>
      <c r="C572" s="157"/>
      <c r="D572" s="157"/>
      <c r="E572" s="157"/>
      <c r="F572" s="157"/>
      <c r="G572" s="224"/>
      <c r="H572" s="157"/>
      <c r="I572" s="157"/>
      <c r="J572" s="157"/>
      <c r="K572" s="157"/>
      <c r="L572" s="38"/>
      <c r="M572" s="38"/>
      <c r="N572" s="38"/>
      <c r="O572" s="38"/>
      <c r="P572" s="38"/>
      <c r="Q572" s="38"/>
      <c r="R572" s="38"/>
    </row>
    <row r="573" spans="1:18" s="75" customFormat="1" x14ac:dyDescent="0.2">
      <c r="A573" s="26"/>
      <c r="B573" s="26"/>
      <c r="C573" s="157"/>
      <c r="D573" s="157"/>
      <c r="E573" s="157"/>
      <c r="F573" s="157"/>
      <c r="G573" s="224"/>
      <c r="H573" s="157"/>
      <c r="I573" s="157"/>
      <c r="J573" s="157"/>
      <c r="K573" s="157"/>
      <c r="L573" s="38"/>
      <c r="M573" s="38"/>
      <c r="N573" s="38"/>
      <c r="O573" s="38"/>
      <c r="P573" s="38"/>
      <c r="Q573" s="38"/>
      <c r="R573" s="38"/>
    </row>
    <row r="574" spans="1:18" s="75" customFormat="1" x14ac:dyDescent="0.2">
      <c r="A574" s="26"/>
      <c r="B574" s="26"/>
      <c r="C574" s="157"/>
      <c r="D574" s="157"/>
      <c r="E574" s="157"/>
      <c r="F574" s="157"/>
      <c r="G574" s="224"/>
      <c r="H574" s="157"/>
      <c r="I574" s="157"/>
      <c r="J574" s="157"/>
      <c r="K574" s="157"/>
      <c r="L574" s="38"/>
      <c r="M574" s="38"/>
      <c r="N574" s="38"/>
      <c r="O574" s="38"/>
      <c r="P574" s="38"/>
      <c r="Q574" s="38"/>
      <c r="R574" s="38"/>
    </row>
    <row r="575" spans="1:18" s="75" customFormat="1" x14ac:dyDescent="0.2">
      <c r="A575" s="26"/>
      <c r="B575" s="26"/>
      <c r="C575" s="157"/>
      <c r="D575" s="157"/>
      <c r="E575" s="157"/>
      <c r="F575" s="157"/>
      <c r="G575" s="224"/>
      <c r="H575" s="157"/>
      <c r="I575" s="157"/>
      <c r="J575" s="157"/>
      <c r="K575" s="157"/>
      <c r="L575" s="38"/>
      <c r="M575" s="38"/>
      <c r="N575" s="38"/>
      <c r="O575" s="38"/>
      <c r="P575" s="38"/>
      <c r="Q575" s="38"/>
      <c r="R575" s="38"/>
    </row>
    <row r="576" spans="1:18" s="75" customFormat="1" x14ac:dyDescent="0.2">
      <c r="A576" s="26"/>
      <c r="B576" s="26"/>
      <c r="C576" s="157"/>
      <c r="D576" s="157"/>
      <c r="E576" s="157"/>
      <c r="F576" s="157"/>
      <c r="G576" s="224"/>
      <c r="H576" s="157"/>
      <c r="I576" s="157"/>
      <c r="J576" s="157"/>
      <c r="K576" s="157"/>
      <c r="L576" s="38"/>
      <c r="M576" s="38"/>
      <c r="N576" s="38"/>
      <c r="O576" s="38"/>
      <c r="P576" s="38"/>
      <c r="Q576" s="38"/>
      <c r="R576" s="38"/>
    </row>
    <row r="577" spans="1:18" s="75" customFormat="1" x14ac:dyDescent="0.2">
      <c r="A577" s="26"/>
      <c r="B577" s="26"/>
      <c r="C577" s="157"/>
      <c r="D577" s="157"/>
      <c r="E577" s="157"/>
      <c r="F577" s="157"/>
      <c r="G577" s="224"/>
      <c r="H577" s="157"/>
      <c r="I577" s="157"/>
      <c r="J577" s="157"/>
      <c r="K577" s="157"/>
      <c r="L577" s="38"/>
      <c r="M577" s="38"/>
      <c r="N577" s="38"/>
      <c r="O577" s="38"/>
      <c r="P577" s="38"/>
      <c r="Q577" s="38"/>
      <c r="R577" s="38"/>
    </row>
    <row r="578" spans="1:18" s="75" customFormat="1" x14ac:dyDescent="0.2">
      <c r="A578" s="26"/>
      <c r="B578" s="26"/>
      <c r="C578" s="157"/>
      <c r="D578" s="157"/>
      <c r="E578" s="157"/>
      <c r="F578" s="157"/>
      <c r="G578" s="224"/>
      <c r="H578" s="157"/>
      <c r="I578" s="157"/>
      <c r="J578" s="157"/>
      <c r="K578" s="157"/>
      <c r="L578" s="38"/>
      <c r="M578" s="38"/>
      <c r="N578" s="38"/>
      <c r="O578" s="38"/>
      <c r="P578" s="38"/>
      <c r="Q578" s="38"/>
      <c r="R578" s="38"/>
    </row>
    <row r="579" spans="1:18" s="75" customFormat="1" x14ac:dyDescent="0.2">
      <c r="A579" s="26"/>
      <c r="B579" s="26"/>
      <c r="C579" s="157"/>
      <c r="D579" s="157"/>
      <c r="E579" s="157"/>
      <c r="F579" s="157"/>
      <c r="G579" s="224"/>
      <c r="H579" s="157"/>
      <c r="I579" s="157"/>
      <c r="J579" s="157"/>
      <c r="K579" s="157"/>
      <c r="L579" s="38"/>
      <c r="M579" s="38"/>
      <c r="N579" s="38"/>
      <c r="O579" s="38"/>
      <c r="P579" s="38"/>
      <c r="Q579" s="38"/>
      <c r="R579" s="38"/>
    </row>
    <row r="580" spans="1:18" s="75" customFormat="1" x14ac:dyDescent="0.2">
      <c r="A580" s="26"/>
      <c r="B580" s="26"/>
      <c r="C580" s="157"/>
      <c r="D580" s="157"/>
      <c r="E580" s="157"/>
      <c r="F580" s="157"/>
      <c r="G580" s="224"/>
      <c r="H580" s="157"/>
      <c r="I580" s="157"/>
      <c r="J580" s="157"/>
      <c r="K580" s="157"/>
      <c r="L580" s="38"/>
      <c r="M580" s="38"/>
      <c r="N580" s="38"/>
      <c r="O580" s="38"/>
      <c r="P580" s="38"/>
      <c r="Q580" s="38"/>
      <c r="R580" s="38"/>
    </row>
    <row r="581" spans="1:18" s="75" customFormat="1" x14ac:dyDescent="0.2">
      <c r="A581" s="26"/>
      <c r="B581" s="26"/>
      <c r="C581" s="157"/>
      <c r="D581" s="157"/>
      <c r="E581" s="157"/>
      <c r="F581" s="157"/>
      <c r="G581" s="224"/>
      <c r="H581" s="157"/>
      <c r="I581" s="157"/>
      <c r="J581" s="157"/>
      <c r="K581" s="157"/>
      <c r="L581" s="38"/>
      <c r="M581" s="38"/>
      <c r="N581" s="38"/>
      <c r="O581" s="38"/>
      <c r="P581" s="38"/>
      <c r="Q581" s="38"/>
      <c r="R581" s="38"/>
    </row>
    <row r="582" spans="1:18" s="75" customFormat="1" x14ac:dyDescent="0.2">
      <c r="A582" s="26"/>
      <c r="B582" s="26"/>
      <c r="C582" s="157"/>
      <c r="D582" s="157"/>
      <c r="E582" s="157"/>
      <c r="F582" s="157"/>
      <c r="G582" s="224"/>
      <c r="H582" s="157"/>
      <c r="I582" s="157"/>
      <c r="J582" s="157"/>
      <c r="K582" s="157"/>
      <c r="L582" s="38"/>
      <c r="M582" s="38"/>
      <c r="N582" s="38"/>
      <c r="O582" s="38"/>
      <c r="P582" s="38"/>
      <c r="Q582" s="38"/>
      <c r="R582" s="38"/>
    </row>
    <row r="583" spans="1:18" s="75" customFormat="1" x14ac:dyDescent="0.2">
      <c r="A583" s="26"/>
      <c r="B583" s="26"/>
      <c r="C583" s="157"/>
      <c r="D583" s="157"/>
      <c r="E583" s="157"/>
      <c r="F583" s="157"/>
      <c r="G583" s="224"/>
      <c r="H583" s="157"/>
      <c r="I583" s="157"/>
      <c r="J583" s="157"/>
      <c r="K583" s="157"/>
      <c r="L583" s="38"/>
      <c r="M583" s="38"/>
      <c r="N583" s="38"/>
      <c r="O583" s="38"/>
      <c r="P583" s="38"/>
      <c r="Q583" s="38"/>
      <c r="R583" s="38"/>
    </row>
    <row r="584" spans="1:18" s="75" customFormat="1" x14ac:dyDescent="0.2">
      <c r="A584" s="26"/>
      <c r="B584" s="26"/>
      <c r="C584" s="157"/>
      <c r="D584" s="157"/>
      <c r="E584" s="157"/>
      <c r="F584" s="157"/>
      <c r="G584" s="224"/>
      <c r="H584" s="157"/>
      <c r="I584" s="157"/>
      <c r="J584" s="157"/>
      <c r="K584" s="157"/>
      <c r="L584" s="38"/>
      <c r="M584" s="38"/>
      <c r="N584" s="38"/>
      <c r="O584" s="38"/>
      <c r="P584" s="38"/>
      <c r="Q584" s="38"/>
      <c r="R584" s="38"/>
    </row>
    <row r="585" spans="1:18" s="75" customFormat="1" x14ac:dyDescent="0.2">
      <c r="A585" s="26"/>
      <c r="B585" s="26"/>
      <c r="C585" s="157"/>
      <c r="D585" s="157"/>
      <c r="E585" s="157"/>
      <c r="F585" s="157"/>
      <c r="G585" s="224"/>
      <c r="H585" s="157"/>
      <c r="I585" s="157"/>
      <c r="J585" s="157"/>
      <c r="K585" s="157"/>
      <c r="L585" s="38"/>
      <c r="M585" s="38"/>
      <c r="N585" s="38"/>
      <c r="O585" s="38"/>
      <c r="P585" s="38"/>
      <c r="Q585" s="38"/>
      <c r="R585" s="38"/>
    </row>
    <row r="586" spans="1:18" s="75" customFormat="1" x14ac:dyDescent="0.2">
      <c r="A586" s="26"/>
      <c r="B586" s="26"/>
      <c r="C586" s="157"/>
      <c r="D586" s="157"/>
      <c r="E586" s="157"/>
      <c r="F586" s="157"/>
      <c r="G586" s="224"/>
      <c r="H586" s="157"/>
      <c r="I586" s="157"/>
      <c r="J586" s="157"/>
      <c r="K586" s="157"/>
      <c r="L586" s="38"/>
      <c r="M586" s="38"/>
      <c r="N586" s="38"/>
      <c r="O586" s="38"/>
      <c r="P586" s="38"/>
      <c r="Q586" s="38"/>
      <c r="R586" s="38"/>
    </row>
    <row r="587" spans="1:18" s="75" customFormat="1" x14ac:dyDescent="0.2">
      <c r="A587" s="26"/>
      <c r="B587" s="26"/>
      <c r="C587" s="157"/>
      <c r="D587" s="157"/>
      <c r="E587" s="157"/>
      <c r="F587" s="157"/>
      <c r="G587" s="224"/>
      <c r="H587" s="157"/>
      <c r="I587" s="157"/>
      <c r="J587" s="157"/>
      <c r="K587" s="157"/>
      <c r="L587" s="38"/>
      <c r="M587" s="38"/>
      <c r="N587" s="38"/>
      <c r="O587" s="38"/>
      <c r="P587" s="38"/>
      <c r="Q587" s="38"/>
      <c r="R587" s="38"/>
    </row>
    <row r="588" spans="1:18" s="75" customFormat="1" x14ac:dyDescent="0.2">
      <c r="A588" s="26"/>
      <c r="B588" s="26"/>
      <c r="C588" s="157"/>
      <c r="D588" s="157"/>
      <c r="E588" s="157"/>
      <c r="F588" s="157"/>
      <c r="G588" s="224"/>
      <c r="H588" s="157"/>
      <c r="I588" s="157"/>
      <c r="J588" s="157"/>
      <c r="K588" s="157"/>
      <c r="L588" s="38"/>
      <c r="M588" s="38"/>
      <c r="N588" s="38"/>
      <c r="O588" s="38"/>
      <c r="P588" s="38"/>
      <c r="Q588" s="38"/>
      <c r="R588" s="38"/>
    </row>
    <row r="589" spans="1:18" s="75" customFormat="1" x14ac:dyDescent="0.2">
      <c r="A589" s="26"/>
      <c r="B589" s="26"/>
      <c r="C589" s="157"/>
      <c r="D589" s="157"/>
      <c r="E589" s="157"/>
      <c r="F589" s="157"/>
      <c r="G589" s="224"/>
      <c r="H589" s="157"/>
      <c r="I589" s="157"/>
      <c r="J589" s="157"/>
      <c r="K589" s="157"/>
      <c r="L589" s="38"/>
      <c r="M589" s="38"/>
      <c r="N589" s="38"/>
      <c r="O589" s="38"/>
      <c r="P589" s="38"/>
      <c r="Q589" s="38"/>
      <c r="R589" s="38"/>
    </row>
    <row r="590" spans="1:18" s="75" customFormat="1" x14ac:dyDescent="0.2">
      <c r="A590" s="26"/>
      <c r="B590" s="26"/>
      <c r="C590" s="157"/>
      <c r="D590" s="157"/>
      <c r="E590" s="157"/>
      <c r="F590" s="157"/>
      <c r="G590" s="224"/>
      <c r="H590" s="157"/>
      <c r="I590" s="157"/>
      <c r="J590" s="157"/>
      <c r="K590" s="157"/>
      <c r="L590" s="38"/>
      <c r="M590" s="38"/>
      <c r="N590" s="38"/>
      <c r="O590" s="38"/>
      <c r="P590" s="38"/>
      <c r="Q590" s="38"/>
      <c r="R590" s="38"/>
    </row>
    <row r="591" spans="1:18" s="75" customFormat="1" x14ac:dyDescent="0.2">
      <c r="A591" s="26"/>
      <c r="B591" s="26"/>
      <c r="C591" s="157"/>
      <c r="D591" s="157"/>
      <c r="E591" s="157"/>
      <c r="F591" s="157"/>
      <c r="G591" s="224"/>
      <c r="H591" s="157"/>
      <c r="I591" s="157"/>
      <c r="J591" s="157"/>
      <c r="K591" s="157"/>
      <c r="L591" s="38"/>
      <c r="M591" s="38"/>
      <c r="N591" s="38"/>
      <c r="O591" s="38"/>
      <c r="P591" s="38"/>
      <c r="Q591" s="38"/>
      <c r="R591" s="38"/>
    </row>
    <row r="592" spans="1:18" s="75" customFormat="1" x14ac:dyDescent="0.2">
      <c r="A592" s="26"/>
      <c r="B592" s="26"/>
      <c r="C592" s="157"/>
      <c r="D592" s="157"/>
      <c r="E592" s="157"/>
      <c r="F592" s="157"/>
      <c r="G592" s="224"/>
      <c r="H592" s="157"/>
      <c r="I592" s="157"/>
      <c r="J592" s="157"/>
      <c r="K592" s="157"/>
      <c r="L592" s="38"/>
      <c r="M592" s="38"/>
      <c r="N592" s="38"/>
      <c r="O592" s="38"/>
      <c r="P592" s="38"/>
      <c r="Q592" s="38"/>
      <c r="R592" s="38"/>
    </row>
    <row r="593" spans="1:18" s="75" customFormat="1" x14ac:dyDescent="0.2">
      <c r="A593" s="26"/>
      <c r="B593" s="26"/>
      <c r="C593" s="157"/>
      <c r="D593" s="157"/>
      <c r="E593" s="157"/>
      <c r="F593" s="157"/>
      <c r="G593" s="224"/>
      <c r="H593" s="157"/>
      <c r="I593" s="157"/>
      <c r="J593" s="157"/>
      <c r="K593" s="157"/>
      <c r="L593" s="38"/>
      <c r="M593" s="38"/>
      <c r="N593" s="38"/>
      <c r="O593" s="38"/>
      <c r="P593" s="38"/>
      <c r="Q593" s="38"/>
      <c r="R593" s="38"/>
    </row>
    <row r="594" spans="1:18" s="75" customFormat="1" x14ac:dyDescent="0.2">
      <c r="A594" s="26"/>
      <c r="B594" s="26"/>
      <c r="C594" s="157"/>
      <c r="D594" s="157"/>
      <c r="E594" s="157"/>
      <c r="F594" s="157"/>
      <c r="G594" s="224"/>
      <c r="H594" s="157"/>
      <c r="I594" s="157"/>
      <c r="J594" s="157"/>
      <c r="K594" s="157"/>
      <c r="L594" s="38"/>
      <c r="M594" s="38"/>
      <c r="N594" s="38"/>
      <c r="O594" s="38"/>
      <c r="P594" s="38"/>
      <c r="Q594" s="38"/>
      <c r="R594" s="38"/>
    </row>
    <row r="595" spans="1:18" s="75" customFormat="1" x14ac:dyDescent="0.2">
      <c r="A595" s="26"/>
      <c r="B595" s="26"/>
      <c r="C595" s="157"/>
      <c r="D595" s="157"/>
      <c r="E595" s="157"/>
      <c r="F595" s="157"/>
      <c r="G595" s="224"/>
      <c r="H595" s="157"/>
      <c r="I595" s="157"/>
      <c r="J595" s="157"/>
      <c r="K595" s="157"/>
      <c r="L595" s="38"/>
      <c r="M595" s="38"/>
      <c r="N595" s="38"/>
      <c r="O595" s="38"/>
      <c r="P595" s="38"/>
      <c r="Q595" s="38"/>
      <c r="R595" s="38"/>
    </row>
    <row r="596" spans="1:18" s="75" customFormat="1" x14ac:dyDescent="0.2">
      <c r="A596" s="26"/>
      <c r="B596" s="26"/>
      <c r="C596" s="157"/>
      <c r="D596" s="157"/>
      <c r="E596" s="157"/>
      <c r="F596" s="157"/>
      <c r="G596" s="224"/>
      <c r="H596" s="157"/>
      <c r="I596" s="157"/>
      <c r="J596" s="157"/>
      <c r="K596" s="157"/>
      <c r="L596" s="38"/>
      <c r="M596" s="38"/>
      <c r="N596" s="38"/>
      <c r="O596" s="38"/>
      <c r="P596" s="38"/>
      <c r="Q596" s="38"/>
      <c r="R596" s="38"/>
    </row>
    <row r="597" spans="1:18" s="75" customFormat="1" x14ac:dyDescent="0.2">
      <c r="A597" s="26"/>
      <c r="B597" s="26"/>
      <c r="C597" s="157"/>
      <c r="D597" s="157"/>
      <c r="E597" s="157"/>
      <c r="F597" s="157"/>
      <c r="G597" s="224"/>
      <c r="H597" s="157"/>
      <c r="I597" s="157"/>
      <c r="J597" s="157"/>
      <c r="K597" s="157"/>
      <c r="L597" s="38"/>
      <c r="M597" s="38"/>
      <c r="N597" s="38"/>
      <c r="O597" s="38"/>
      <c r="P597" s="38"/>
      <c r="Q597" s="38"/>
      <c r="R597" s="38"/>
    </row>
    <row r="598" spans="1:18" s="75" customFormat="1" x14ac:dyDescent="0.2">
      <c r="A598" s="26"/>
      <c r="B598" s="26"/>
      <c r="C598" s="157"/>
      <c r="D598" s="157"/>
      <c r="E598" s="157"/>
      <c r="F598" s="157"/>
      <c r="G598" s="224"/>
      <c r="H598" s="157"/>
      <c r="I598" s="157"/>
      <c r="J598" s="157"/>
      <c r="K598" s="157"/>
      <c r="L598" s="38"/>
      <c r="M598" s="38"/>
      <c r="N598" s="38"/>
      <c r="O598" s="38"/>
      <c r="P598" s="38"/>
      <c r="Q598" s="38"/>
      <c r="R598" s="38"/>
    </row>
    <row r="599" spans="1:18" s="75" customFormat="1" x14ac:dyDescent="0.2">
      <c r="A599" s="26"/>
      <c r="B599" s="26"/>
      <c r="C599" s="157"/>
      <c r="D599" s="157"/>
      <c r="E599" s="157"/>
      <c r="F599" s="157"/>
      <c r="G599" s="224"/>
      <c r="H599" s="157"/>
      <c r="I599" s="157"/>
      <c r="J599" s="157"/>
      <c r="K599" s="157"/>
      <c r="L599" s="38"/>
      <c r="M599" s="38"/>
      <c r="N599" s="38"/>
      <c r="O599" s="38"/>
      <c r="P599" s="38"/>
      <c r="Q599" s="38"/>
      <c r="R599" s="38"/>
    </row>
    <row r="600" spans="1:18" s="75" customFormat="1" x14ac:dyDescent="0.2">
      <c r="A600" s="26"/>
      <c r="B600" s="26"/>
      <c r="C600" s="157"/>
      <c r="D600" s="157"/>
      <c r="E600" s="157"/>
      <c r="F600" s="157"/>
      <c r="G600" s="224"/>
      <c r="H600" s="157"/>
      <c r="I600" s="157"/>
      <c r="J600" s="157"/>
      <c r="K600" s="157"/>
      <c r="L600" s="38"/>
      <c r="M600" s="38"/>
      <c r="N600" s="38"/>
      <c r="O600" s="38"/>
      <c r="P600" s="38"/>
      <c r="Q600" s="38"/>
      <c r="R600" s="38"/>
    </row>
    <row r="601" spans="1:18" s="75" customFormat="1" x14ac:dyDescent="0.2">
      <c r="A601" s="26"/>
      <c r="B601" s="26"/>
      <c r="C601" s="157"/>
      <c r="D601" s="157"/>
      <c r="E601" s="157"/>
      <c r="F601" s="157"/>
      <c r="G601" s="224"/>
      <c r="H601" s="157"/>
      <c r="I601" s="157"/>
      <c r="J601" s="157"/>
      <c r="K601" s="157"/>
      <c r="L601" s="38"/>
      <c r="M601" s="38"/>
      <c r="N601" s="38"/>
      <c r="O601" s="38"/>
      <c r="P601" s="38"/>
      <c r="Q601" s="38"/>
      <c r="R601" s="38"/>
    </row>
    <row r="602" spans="1:18" s="75" customFormat="1" x14ac:dyDescent="0.2">
      <c r="A602" s="26"/>
      <c r="B602" s="26"/>
      <c r="C602" s="157"/>
      <c r="D602" s="157"/>
      <c r="E602" s="157"/>
      <c r="F602" s="157"/>
      <c r="G602" s="224"/>
      <c r="H602" s="157"/>
      <c r="I602" s="157"/>
      <c r="J602" s="157"/>
      <c r="K602" s="157"/>
      <c r="L602" s="38"/>
      <c r="M602" s="38"/>
      <c r="N602" s="38"/>
      <c r="O602" s="38"/>
      <c r="P602" s="38"/>
      <c r="Q602" s="38"/>
      <c r="R602" s="38"/>
    </row>
    <row r="603" spans="1:18" s="75" customFormat="1" x14ac:dyDescent="0.2">
      <c r="A603" s="26"/>
      <c r="B603" s="26"/>
      <c r="C603" s="157"/>
      <c r="D603" s="157"/>
      <c r="E603" s="157"/>
      <c r="F603" s="157"/>
      <c r="G603" s="224"/>
      <c r="H603" s="157"/>
      <c r="I603" s="157"/>
      <c r="J603" s="157"/>
      <c r="K603" s="157"/>
      <c r="L603" s="38"/>
      <c r="M603" s="38"/>
      <c r="N603" s="38"/>
      <c r="O603" s="38"/>
      <c r="P603" s="38"/>
      <c r="Q603" s="38"/>
      <c r="R603" s="38"/>
    </row>
    <row r="604" spans="1:18" s="75" customFormat="1" x14ac:dyDescent="0.2">
      <c r="A604" s="26"/>
      <c r="B604" s="26"/>
      <c r="C604" s="157"/>
      <c r="D604" s="157"/>
      <c r="E604" s="157"/>
      <c r="F604" s="157"/>
      <c r="G604" s="224"/>
      <c r="H604" s="157"/>
      <c r="I604" s="157"/>
      <c r="J604" s="157"/>
      <c r="K604" s="157"/>
      <c r="L604" s="38"/>
      <c r="M604" s="38"/>
      <c r="N604" s="38"/>
      <c r="O604" s="38"/>
      <c r="P604" s="38"/>
      <c r="Q604" s="38"/>
      <c r="R604" s="38"/>
    </row>
    <row r="605" spans="1:18" s="75" customFormat="1" x14ac:dyDescent="0.2">
      <c r="A605" s="26"/>
      <c r="B605" s="26"/>
      <c r="C605" s="157"/>
      <c r="D605" s="157"/>
      <c r="E605" s="157"/>
      <c r="F605" s="157"/>
      <c r="G605" s="224"/>
      <c r="H605" s="157"/>
      <c r="I605" s="157"/>
      <c r="J605" s="157"/>
      <c r="K605" s="157"/>
      <c r="L605" s="38"/>
      <c r="M605" s="38"/>
      <c r="N605" s="38"/>
      <c r="O605" s="38"/>
      <c r="P605" s="38"/>
      <c r="Q605" s="38"/>
      <c r="R605" s="38"/>
    </row>
    <row r="606" spans="1:18" s="75" customFormat="1" x14ac:dyDescent="0.2">
      <c r="A606" s="26"/>
      <c r="B606" s="26"/>
      <c r="C606" s="157"/>
      <c r="D606" s="157"/>
      <c r="E606" s="157"/>
      <c r="F606" s="157"/>
      <c r="G606" s="224"/>
      <c r="H606" s="157"/>
      <c r="I606" s="157"/>
      <c r="J606" s="157"/>
      <c r="K606" s="157"/>
      <c r="L606" s="38"/>
      <c r="M606" s="38"/>
      <c r="N606" s="38"/>
      <c r="O606" s="38"/>
      <c r="P606" s="38"/>
      <c r="Q606" s="38"/>
      <c r="R606" s="38"/>
    </row>
    <row r="607" spans="1:18" s="75" customFormat="1" x14ac:dyDescent="0.2">
      <c r="A607" s="26"/>
      <c r="B607" s="26"/>
      <c r="C607" s="157"/>
      <c r="D607" s="157"/>
      <c r="E607" s="157"/>
      <c r="F607" s="157"/>
      <c r="G607" s="224"/>
      <c r="H607" s="157"/>
      <c r="I607" s="157"/>
      <c r="J607" s="157"/>
      <c r="K607" s="157"/>
      <c r="L607" s="38"/>
      <c r="M607" s="38"/>
      <c r="N607" s="38"/>
      <c r="O607" s="38"/>
      <c r="P607" s="38"/>
      <c r="Q607" s="38"/>
      <c r="R607" s="38"/>
    </row>
    <row r="608" spans="1:18" s="75" customFormat="1" x14ac:dyDescent="0.2">
      <c r="A608" s="26"/>
      <c r="B608" s="26"/>
      <c r="C608" s="157"/>
      <c r="D608" s="157"/>
      <c r="E608" s="157"/>
      <c r="F608" s="157"/>
      <c r="G608" s="224"/>
      <c r="H608" s="157"/>
      <c r="I608" s="157"/>
      <c r="J608" s="157"/>
      <c r="K608" s="157"/>
      <c r="L608" s="38"/>
      <c r="M608" s="38"/>
      <c r="N608" s="38"/>
      <c r="O608" s="38"/>
      <c r="P608" s="38"/>
      <c r="Q608" s="38"/>
      <c r="R608" s="38"/>
    </row>
    <row r="609" spans="1:18" s="75" customFormat="1" x14ac:dyDescent="0.2">
      <c r="A609" s="26"/>
      <c r="B609" s="26"/>
      <c r="C609" s="157"/>
      <c r="D609" s="157"/>
      <c r="E609" s="157"/>
      <c r="F609" s="157"/>
      <c r="G609" s="224"/>
      <c r="H609" s="157"/>
      <c r="I609" s="157"/>
      <c r="J609" s="157"/>
      <c r="K609" s="157"/>
      <c r="L609" s="38"/>
      <c r="M609" s="38"/>
      <c r="N609" s="38"/>
      <c r="O609" s="38"/>
      <c r="P609" s="38"/>
      <c r="Q609" s="38"/>
      <c r="R609" s="38"/>
    </row>
    <row r="610" spans="1:18" s="75" customFormat="1" x14ac:dyDescent="0.2">
      <c r="A610" s="26"/>
      <c r="B610" s="26"/>
      <c r="C610" s="157"/>
      <c r="D610" s="157"/>
      <c r="E610" s="157"/>
      <c r="F610" s="157"/>
      <c r="G610" s="224"/>
      <c r="H610" s="157"/>
      <c r="I610" s="157"/>
      <c r="J610" s="157"/>
      <c r="K610" s="157"/>
      <c r="L610" s="38"/>
      <c r="M610" s="38"/>
      <c r="N610" s="38"/>
      <c r="O610" s="38"/>
      <c r="P610" s="38"/>
      <c r="Q610" s="38"/>
      <c r="R610" s="38"/>
    </row>
    <row r="611" spans="1:18" s="75" customFormat="1" x14ac:dyDescent="0.2">
      <c r="A611" s="26"/>
      <c r="B611" s="26"/>
      <c r="C611" s="157"/>
      <c r="D611" s="157"/>
      <c r="E611" s="157"/>
      <c r="F611" s="157"/>
      <c r="G611" s="224"/>
      <c r="H611" s="157"/>
      <c r="I611" s="157"/>
      <c r="J611" s="157"/>
      <c r="K611" s="157"/>
      <c r="L611" s="38"/>
      <c r="M611" s="38"/>
      <c r="N611" s="38"/>
      <c r="O611" s="38"/>
      <c r="P611" s="38"/>
      <c r="Q611" s="38"/>
      <c r="R611" s="38"/>
    </row>
    <row r="612" spans="1:18" s="75" customFormat="1" x14ac:dyDescent="0.2">
      <c r="A612" s="26"/>
      <c r="B612" s="26"/>
      <c r="C612" s="157"/>
      <c r="D612" s="157"/>
      <c r="E612" s="157"/>
      <c r="F612" s="157"/>
      <c r="G612" s="224"/>
      <c r="H612" s="157"/>
      <c r="I612" s="157"/>
      <c r="J612" s="157"/>
      <c r="K612" s="157"/>
      <c r="L612" s="38"/>
      <c r="M612" s="38"/>
      <c r="N612" s="38"/>
      <c r="O612" s="38"/>
      <c r="P612" s="38"/>
      <c r="Q612" s="38"/>
      <c r="R612" s="38"/>
    </row>
    <row r="613" spans="1:18" s="75" customFormat="1" x14ac:dyDescent="0.2">
      <c r="A613" s="26"/>
      <c r="B613" s="26"/>
      <c r="C613" s="157"/>
      <c r="D613" s="157"/>
      <c r="E613" s="157"/>
      <c r="F613" s="157"/>
      <c r="G613" s="224"/>
      <c r="H613" s="157"/>
      <c r="I613" s="157"/>
      <c r="J613" s="157"/>
      <c r="K613" s="157"/>
      <c r="L613" s="38"/>
      <c r="M613" s="38"/>
      <c r="N613" s="38"/>
      <c r="O613" s="38"/>
      <c r="P613" s="38"/>
      <c r="Q613" s="38"/>
      <c r="R613" s="38"/>
    </row>
    <row r="614" spans="1:18" s="75" customFormat="1" x14ac:dyDescent="0.2">
      <c r="A614" s="26"/>
      <c r="B614" s="26"/>
      <c r="C614" s="157"/>
      <c r="D614" s="157"/>
      <c r="E614" s="157"/>
      <c r="F614" s="157"/>
      <c r="G614" s="224"/>
      <c r="H614" s="157"/>
      <c r="I614" s="157"/>
      <c r="J614" s="157"/>
      <c r="K614" s="157"/>
      <c r="L614" s="38"/>
      <c r="M614" s="38"/>
      <c r="N614" s="38"/>
      <c r="O614" s="38"/>
      <c r="P614" s="38"/>
      <c r="Q614" s="38"/>
      <c r="R614" s="38"/>
    </row>
    <row r="615" spans="1:18" s="75" customFormat="1" x14ac:dyDescent="0.2">
      <c r="A615" s="26"/>
      <c r="B615" s="26"/>
      <c r="C615" s="157"/>
      <c r="D615" s="157"/>
      <c r="E615" s="157"/>
      <c r="F615" s="157"/>
      <c r="G615" s="224"/>
      <c r="H615" s="157"/>
      <c r="I615" s="157"/>
      <c r="J615" s="157"/>
      <c r="K615" s="157"/>
      <c r="L615" s="38"/>
      <c r="M615" s="38"/>
      <c r="N615" s="38"/>
      <c r="O615" s="38"/>
      <c r="P615" s="38"/>
      <c r="Q615" s="38"/>
      <c r="R615" s="38"/>
    </row>
    <row r="616" spans="1:18" s="75" customFormat="1" x14ac:dyDescent="0.2">
      <c r="A616" s="26"/>
      <c r="B616" s="26"/>
      <c r="C616" s="157"/>
      <c r="D616" s="157"/>
      <c r="E616" s="157"/>
      <c r="F616" s="157"/>
      <c r="G616" s="224"/>
      <c r="H616" s="157"/>
      <c r="I616" s="157"/>
      <c r="J616" s="157"/>
      <c r="K616" s="157"/>
      <c r="L616" s="38"/>
      <c r="M616" s="38"/>
      <c r="N616" s="38"/>
      <c r="O616" s="38"/>
      <c r="P616" s="38"/>
      <c r="Q616" s="38"/>
      <c r="R616" s="38"/>
    </row>
    <row r="617" spans="1:18" s="75" customFormat="1" x14ac:dyDescent="0.2">
      <c r="A617" s="26"/>
      <c r="B617" s="26"/>
      <c r="C617" s="157"/>
      <c r="D617" s="157"/>
      <c r="E617" s="157"/>
      <c r="F617" s="157"/>
      <c r="G617" s="224"/>
      <c r="H617" s="157"/>
      <c r="I617" s="157"/>
      <c r="J617" s="157"/>
      <c r="K617" s="157"/>
      <c r="L617" s="38"/>
      <c r="M617" s="38"/>
      <c r="N617" s="38"/>
      <c r="O617" s="38"/>
      <c r="P617" s="38"/>
      <c r="Q617" s="38"/>
      <c r="R617" s="38"/>
    </row>
    <row r="618" spans="1:18" s="75" customFormat="1" x14ac:dyDescent="0.2">
      <c r="A618" s="26"/>
      <c r="B618" s="26"/>
      <c r="C618" s="157"/>
      <c r="D618" s="157"/>
      <c r="E618" s="157"/>
      <c r="F618" s="157"/>
      <c r="G618" s="224"/>
      <c r="H618" s="157"/>
      <c r="I618" s="157"/>
      <c r="J618" s="157"/>
      <c r="K618" s="157"/>
      <c r="L618" s="38"/>
      <c r="M618" s="38"/>
      <c r="N618" s="38"/>
      <c r="O618" s="38"/>
      <c r="P618" s="38"/>
      <c r="Q618" s="38"/>
      <c r="R618" s="38"/>
    </row>
    <row r="619" spans="1:18" s="75" customFormat="1" x14ac:dyDescent="0.2">
      <c r="A619" s="26"/>
      <c r="B619" s="26"/>
      <c r="C619" s="157"/>
      <c r="D619" s="157"/>
      <c r="E619" s="157"/>
      <c r="F619" s="157"/>
      <c r="G619" s="224"/>
      <c r="H619" s="157"/>
      <c r="I619" s="157"/>
      <c r="J619" s="157"/>
      <c r="K619" s="157"/>
      <c r="L619" s="38"/>
      <c r="M619" s="38"/>
      <c r="N619" s="38"/>
      <c r="O619" s="38"/>
      <c r="P619" s="38"/>
      <c r="Q619" s="38"/>
      <c r="R619" s="38"/>
    </row>
    <row r="620" spans="1:18" s="75" customFormat="1" x14ac:dyDescent="0.2">
      <c r="A620" s="26"/>
      <c r="B620" s="26"/>
      <c r="C620" s="157"/>
      <c r="D620" s="157"/>
      <c r="E620" s="157"/>
      <c r="F620" s="157"/>
      <c r="G620" s="224"/>
      <c r="H620" s="157"/>
      <c r="I620" s="157"/>
      <c r="J620" s="157"/>
      <c r="K620" s="157"/>
      <c r="L620" s="38"/>
      <c r="M620" s="38"/>
      <c r="N620" s="38"/>
      <c r="O620" s="38"/>
      <c r="P620" s="38"/>
      <c r="Q620" s="38"/>
      <c r="R620" s="38"/>
    </row>
    <row r="621" spans="1:18" s="75" customFormat="1" x14ac:dyDescent="0.2">
      <c r="A621" s="26"/>
      <c r="B621" s="26"/>
      <c r="C621" s="157"/>
      <c r="D621" s="157"/>
      <c r="E621" s="157"/>
      <c r="F621" s="157"/>
      <c r="G621" s="224"/>
      <c r="H621" s="157"/>
      <c r="I621" s="157"/>
      <c r="J621" s="157"/>
      <c r="K621" s="157"/>
      <c r="L621" s="38"/>
      <c r="M621" s="38"/>
      <c r="N621" s="38"/>
      <c r="O621" s="38"/>
      <c r="P621" s="38"/>
      <c r="Q621" s="38"/>
      <c r="R621" s="38"/>
    </row>
    <row r="622" spans="1:18" s="75" customFormat="1" x14ac:dyDescent="0.2">
      <c r="A622" s="26"/>
      <c r="B622" s="26"/>
      <c r="C622" s="157"/>
      <c r="D622" s="157"/>
      <c r="E622" s="157"/>
      <c r="F622" s="157"/>
      <c r="G622" s="224"/>
      <c r="H622" s="157"/>
      <c r="I622" s="157"/>
      <c r="J622" s="157"/>
      <c r="K622" s="157"/>
      <c r="L622" s="38"/>
      <c r="M622" s="38"/>
      <c r="N622" s="38"/>
      <c r="O622" s="38"/>
      <c r="P622" s="38"/>
      <c r="Q622" s="38"/>
      <c r="R622" s="38"/>
    </row>
    <row r="623" spans="1:18" s="75" customFormat="1" x14ac:dyDescent="0.2">
      <c r="A623" s="26"/>
      <c r="B623" s="26"/>
      <c r="C623" s="157"/>
      <c r="D623" s="157"/>
      <c r="E623" s="157"/>
      <c r="F623" s="157"/>
      <c r="G623" s="224"/>
      <c r="H623" s="157"/>
      <c r="I623" s="157"/>
      <c r="J623" s="157"/>
      <c r="K623" s="157"/>
      <c r="L623" s="38"/>
      <c r="M623" s="38"/>
      <c r="N623" s="38"/>
      <c r="O623" s="38"/>
      <c r="P623" s="38"/>
      <c r="Q623" s="38"/>
      <c r="R623" s="38"/>
    </row>
    <row r="624" spans="1:18" s="75" customFormat="1" x14ac:dyDescent="0.2">
      <c r="A624" s="26"/>
      <c r="B624" s="26"/>
      <c r="C624" s="157"/>
      <c r="D624" s="157"/>
      <c r="E624" s="157"/>
      <c r="F624" s="157"/>
      <c r="G624" s="224"/>
      <c r="H624" s="157"/>
      <c r="I624" s="157"/>
      <c r="J624" s="157"/>
      <c r="K624" s="157"/>
      <c r="L624" s="38"/>
      <c r="M624" s="38"/>
      <c r="N624" s="38"/>
      <c r="O624" s="38"/>
      <c r="P624" s="38"/>
      <c r="Q624" s="38"/>
      <c r="R624" s="38"/>
    </row>
    <row r="625" spans="1:18" s="75" customFormat="1" x14ac:dyDescent="0.2">
      <c r="A625" s="26"/>
      <c r="B625" s="26"/>
      <c r="C625" s="157"/>
      <c r="D625" s="157"/>
      <c r="E625" s="157"/>
      <c r="F625" s="157"/>
      <c r="G625" s="224"/>
      <c r="H625" s="157"/>
      <c r="I625" s="157"/>
      <c r="J625" s="157"/>
      <c r="K625" s="157"/>
      <c r="L625" s="38"/>
      <c r="M625" s="38"/>
      <c r="N625" s="38"/>
      <c r="O625" s="38"/>
      <c r="P625" s="38"/>
      <c r="Q625" s="38"/>
      <c r="R625" s="38"/>
    </row>
    <row r="626" spans="1:18" s="75" customFormat="1" x14ac:dyDescent="0.2">
      <c r="A626" s="26"/>
      <c r="B626" s="26"/>
      <c r="C626" s="157"/>
      <c r="D626" s="157"/>
      <c r="E626" s="157"/>
      <c r="F626" s="157"/>
      <c r="G626" s="224"/>
      <c r="H626" s="157"/>
      <c r="I626" s="157"/>
      <c r="J626" s="157"/>
      <c r="K626" s="157"/>
      <c r="L626" s="38"/>
      <c r="M626" s="38"/>
      <c r="N626" s="38"/>
      <c r="O626" s="38"/>
      <c r="P626" s="38"/>
      <c r="Q626" s="38"/>
      <c r="R626" s="38"/>
    </row>
    <row r="627" spans="1:18" s="75" customFormat="1" x14ac:dyDescent="0.2">
      <c r="A627" s="26"/>
      <c r="B627" s="26"/>
      <c r="C627" s="157"/>
      <c r="D627" s="157"/>
      <c r="E627" s="157"/>
      <c r="F627" s="157"/>
      <c r="G627" s="224"/>
      <c r="H627" s="157"/>
      <c r="I627" s="157"/>
      <c r="J627" s="157"/>
      <c r="K627" s="157"/>
      <c r="L627" s="38"/>
      <c r="M627" s="38"/>
      <c r="N627" s="38"/>
      <c r="O627" s="38"/>
      <c r="P627" s="38"/>
      <c r="Q627" s="38"/>
      <c r="R627" s="38"/>
    </row>
    <row r="628" spans="1:18" s="75" customFormat="1" x14ac:dyDescent="0.2">
      <c r="A628" s="26"/>
      <c r="B628" s="26"/>
      <c r="C628" s="157"/>
      <c r="D628" s="157"/>
      <c r="E628" s="157"/>
      <c r="F628" s="157"/>
      <c r="G628" s="224"/>
      <c r="H628" s="157"/>
      <c r="I628" s="157"/>
      <c r="J628" s="157"/>
      <c r="K628" s="157"/>
      <c r="L628" s="38"/>
      <c r="M628" s="38"/>
      <c r="N628" s="38"/>
      <c r="O628" s="38"/>
      <c r="P628" s="38"/>
      <c r="Q628" s="38"/>
      <c r="R628" s="38"/>
    </row>
    <row r="629" spans="1:18" s="75" customFormat="1" x14ac:dyDescent="0.2">
      <c r="A629" s="26"/>
      <c r="B629" s="26"/>
      <c r="C629" s="157"/>
      <c r="D629" s="157"/>
      <c r="E629" s="157"/>
      <c r="F629" s="157"/>
      <c r="G629" s="224"/>
      <c r="H629" s="157"/>
      <c r="I629" s="157"/>
      <c r="J629" s="157"/>
      <c r="K629" s="157"/>
      <c r="L629" s="38"/>
      <c r="M629" s="38"/>
      <c r="N629" s="38"/>
      <c r="O629" s="38"/>
      <c r="P629" s="38"/>
      <c r="Q629" s="38"/>
      <c r="R629" s="38"/>
    </row>
    <row r="630" spans="1:18" s="75" customFormat="1" x14ac:dyDescent="0.2">
      <c r="A630" s="26"/>
      <c r="B630" s="26"/>
      <c r="C630" s="157"/>
      <c r="D630" s="157"/>
      <c r="E630" s="157"/>
      <c r="F630" s="157"/>
      <c r="G630" s="224"/>
      <c r="H630" s="157"/>
      <c r="I630" s="157"/>
      <c r="J630" s="157"/>
      <c r="K630" s="157"/>
      <c r="L630" s="38"/>
      <c r="M630" s="38"/>
      <c r="N630" s="38"/>
      <c r="O630" s="38"/>
      <c r="P630" s="38"/>
      <c r="Q630" s="38"/>
      <c r="R630" s="38"/>
    </row>
    <row r="631" spans="1:18" s="75" customFormat="1" x14ac:dyDescent="0.2">
      <c r="A631" s="26"/>
      <c r="B631" s="26"/>
      <c r="C631" s="157"/>
      <c r="D631" s="157"/>
      <c r="E631" s="157"/>
      <c r="F631" s="157"/>
      <c r="G631" s="224"/>
      <c r="H631" s="157"/>
      <c r="I631" s="157"/>
      <c r="J631" s="157"/>
      <c r="K631" s="157"/>
      <c r="L631" s="38"/>
      <c r="M631" s="38"/>
      <c r="N631" s="38"/>
      <c r="O631" s="38"/>
      <c r="P631" s="38"/>
      <c r="Q631" s="38"/>
      <c r="R631" s="38"/>
    </row>
    <row r="632" spans="1:18" s="75" customFormat="1" x14ac:dyDescent="0.2">
      <c r="A632" s="26"/>
      <c r="B632" s="26"/>
      <c r="C632" s="157"/>
      <c r="D632" s="157"/>
      <c r="E632" s="157"/>
      <c r="F632" s="157"/>
      <c r="G632" s="224"/>
      <c r="H632" s="157"/>
      <c r="I632" s="157"/>
      <c r="J632" s="157"/>
      <c r="K632" s="157"/>
      <c r="L632" s="38"/>
      <c r="M632" s="38"/>
      <c r="N632" s="38"/>
      <c r="O632" s="38"/>
      <c r="P632" s="38"/>
      <c r="Q632" s="38"/>
      <c r="R632" s="38"/>
    </row>
    <row r="633" spans="1:18" s="75" customFormat="1" x14ac:dyDescent="0.2">
      <c r="A633" s="26"/>
      <c r="B633" s="26"/>
      <c r="C633" s="157"/>
      <c r="D633" s="157"/>
      <c r="E633" s="157"/>
      <c r="F633" s="157"/>
      <c r="G633" s="224"/>
      <c r="H633" s="157"/>
      <c r="I633" s="157"/>
      <c r="J633" s="157"/>
      <c r="K633" s="157"/>
      <c r="L633" s="38"/>
      <c r="M633" s="38"/>
      <c r="N633" s="38"/>
      <c r="O633" s="38"/>
      <c r="P633" s="38"/>
      <c r="Q633" s="38"/>
      <c r="R633" s="38"/>
    </row>
    <row r="634" spans="1:18" s="75" customFormat="1" x14ac:dyDescent="0.2">
      <c r="A634" s="26"/>
      <c r="B634" s="26"/>
      <c r="C634" s="157"/>
      <c r="D634" s="157"/>
      <c r="E634" s="157"/>
      <c r="F634" s="157"/>
      <c r="G634" s="224"/>
      <c r="H634" s="157"/>
      <c r="I634" s="157"/>
      <c r="J634" s="157"/>
      <c r="K634" s="157"/>
      <c r="L634" s="38"/>
      <c r="M634" s="38"/>
      <c r="N634" s="38"/>
      <c r="O634" s="38"/>
      <c r="P634" s="38"/>
      <c r="Q634" s="38"/>
      <c r="R634" s="38"/>
    </row>
    <row r="635" spans="1:18" s="75" customFormat="1" x14ac:dyDescent="0.2">
      <c r="A635" s="26"/>
      <c r="B635" s="26"/>
      <c r="C635" s="157"/>
      <c r="D635" s="157"/>
      <c r="E635" s="157"/>
      <c r="F635" s="157"/>
      <c r="G635" s="224"/>
      <c r="H635" s="157"/>
      <c r="I635" s="157"/>
      <c r="J635" s="157"/>
      <c r="K635" s="157"/>
      <c r="L635" s="38"/>
      <c r="M635" s="38"/>
      <c r="N635" s="38"/>
      <c r="O635" s="38"/>
      <c r="P635" s="38"/>
      <c r="Q635" s="38"/>
      <c r="R635" s="38"/>
    </row>
    <row r="636" spans="1:18" s="75" customFormat="1" x14ac:dyDescent="0.2">
      <c r="A636" s="26"/>
      <c r="B636" s="26"/>
      <c r="C636" s="157"/>
      <c r="D636" s="157"/>
      <c r="E636" s="157"/>
      <c r="F636" s="157"/>
      <c r="G636" s="224"/>
      <c r="H636" s="157"/>
      <c r="I636" s="157"/>
      <c r="J636" s="157"/>
      <c r="K636" s="157"/>
      <c r="L636" s="38"/>
      <c r="M636" s="38"/>
      <c r="N636" s="38"/>
      <c r="O636" s="38"/>
      <c r="P636" s="38"/>
      <c r="Q636" s="38"/>
      <c r="R636" s="38"/>
    </row>
    <row r="637" spans="1:18" s="75" customFormat="1" x14ac:dyDescent="0.2">
      <c r="A637" s="26"/>
      <c r="B637" s="26"/>
      <c r="C637" s="157"/>
      <c r="D637" s="157"/>
      <c r="E637" s="157"/>
      <c r="F637" s="157"/>
      <c r="G637" s="224"/>
      <c r="H637" s="157"/>
      <c r="I637" s="157"/>
      <c r="J637" s="157"/>
      <c r="K637" s="157"/>
      <c r="L637" s="38"/>
      <c r="M637" s="38"/>
      <c r="N637" s="38"/>
      <c r="O637" s="38"/>
      <c r="P637" s="38"/>
      <c r="Q637" s="38"/>
      <c r="R637" s="38"/>
    </row>
    <row r="638" spans="1:18" s="75" customFormat="1" x14ac:dyDescent="0.2">
      <c r="A638" s="26"/>
      <c r="B638" s="26"/>
      <c r="C638" s="157"/>
      <c r="D638" s="157"/>
      <c r="E638" s="157"/>
      <c r="F638" s="157"/>
      <c r="G638" s="224"/>
      <c r="H638" s="157"/>
      <c r="I638" s="157"/>
      <c r="J638" s="157"/>
      <c r="K638" s="157"/>
      <c r="L638" s="38"/>
      <c r="M638" s="38"/>
      <c r="N638" s="38"/>
      <c r="O638" s="38"/>
      <c r="P638" s="38"/>
      <c r="Q638" s="38"/>
      <c r="R638" s="38"/>
    </row>
    <row r="639" spans="1:18" s="75" customFormat="1" x14ac:dyDescent="0.2">
      <c r="A639" s="26"/>
      <c r="B639" s="26"/>
      <c r="C639" s="157"/>
      <c r="D639" s="157"/>
      <c r="E639" s="157"/>
      <c r="F639" s="157"/>
      <c r="G639" s="224"/>
      <c r="H639" s="157"/>
      <c r="I639" s="157"/>
      <c r="J639" s="157"/>
      <c r="K639" s="157"/>
      <c r="L639" s="38"/>
      <c r="M639" s="38"/>
      <c r="N639" s="38"/>
      <c r="O639" s="38"/>
      <c r="P639" s="38"/>
      <c r="Q639" s="38"/>
      <c r="R639" s="38"/>
    </row>
    <row r="640" spans="1:18" s="75" customFormat="1" x14ac:dyDescent="0.2">
      <c r="A640" s="26"/>
      <c r="B640" s="26"/>
      <c r="C640" s="157"/>
      <c r="D640" s="157"/>
      <c r="E640" s="157"/>
      <c r="F640" s="157"/>
      <c r="G640" s="224"/>
      <c r="H640" s="157"/>
      <c r="I640" s="157"/>
      <c r="J640" s="157"/>
      <c r="K640" s="157"/>
      <c r="L640" s="38"/>
      <c r="M640" s="38"/>
      <c r="N640" s="38"/>
      <c r="O640" s="38"/>
      <c r="P640" s="38"/>
      <c r="Q640" s="38"/>
      <c r="R640" s="38"/>
    </row>
    <row r="641" spans="1:18" s="75" customFormat="1" x14ac:dyDescent="0.2">
      <c r="A641" s="26"/>
      <c r="B641" s="26"/>
      <c r="C641" s="157"/>
      <c r="D641" s="157"/>
      <c r="E641" s="157"/>
      <c r="F641" s="157"/>
      <c r="G641" s="224"/>
      <c r="H641" s="157"/>
      <c r="I641" s="157"/>
      <c r="J641" s="157"/>
      <c r="K641" s="157"/>
      <c r="L641" s="38"/>
      <c r="M641" s="38"/>
      <c r="N641" s="38"/>
      <c r="O641" s="38"/>
      <c r="P641" s="38"/>
      <c r="Q641" s="38"/>
      <c r="R641" s="38"/>
    </row>
    <row r="642" spans="1:18" s="75" customFormat="1" x14ac:dyDescent="0.2">
      <c r="A642" s="26"/>
      <c r="B642" s="26"/>
      <c r="C642" s="157"/>
      <c r="D642" s="157"/>
      <c r="E642" s="157"/>
      <c r="F642" s="157"/>
      <c r="G642" s="224"/>
      <c r="H642" s="157"/>
      <c r="I642" s="157"/>
      <c r="J642" s="157"/>
      <c r="K642" s="157"/>
      <c r="L642" s="38"/>
      <c r="M642" s="38"/>
      <c r="N642" s="38"/>
      <c r="O642" s="38"/>
      <c r="P642" s="38"/>
      <c r="Q642" s="38"/>
      <c r="R642" s="38"/>
    </row>
    <row r="643" spans="1:18" s="75" customFormat="1" x14ac:dyDescent="0.2">
      <c r="A643" s="26"/>
      <c r="B643" s="26"/>
      <c r="C643" s="157"/>
      <c r="D643" s="157"/>
      <c r="E643" s="157"/>
      <c r="F643" s="157"/>
      <c r="G643" s="224"/>
      <c r="H643" s="157"/>
      <c r="I643" s="157"/>
      <c r="J643" s="157"/>
      <c r="K643" s="157"/>
      <c r="L643" s="38"/>
      <c r="M643" s="38"/>
      <c r="N643" s="38"/>
      <c r="O643" s="38"/>
      <c r="P643" s="38"/>
      <c r="Q643" s="38"/>
      <c r="R643" s="38"/>
    </row>
    <row r="644" spans="1:18" s="75" customFormat="1" x14ac:dyDescent="0.2">
      <c r="A644" s="26"/>
      <c r="B644" s="26"/>
      <c r="C644" s="157"/>
      <c r="D644" s="157"/>
      <c r="E644" s="157"/>
      <c r="F644" s="157"/>
      <c r="G644" s="224"/>
      <c r="H644" s="157"/>
      <c r="I644" s="157"/>
      <c r="J644" s="157"/>
      <c r="K644" s="157"/>
      <c r="L644" s="38"/>
      <c r="M644" s="38"/>
      <c r="N644" s="38"/>
      <c r="O644" s="38"/>
      <c r="P644" s="38"/>
      <c r="Q644" s="38"/>
      <c r="R644" s="38"/>
    </row>
    <row r="645" spans="1:18" s="75" customFormat="1" x14ac:dyDescent="0.2">
      <c r="A645" s="26"/>
      <c r="B645" s="26"/>
      <c r="C645" s="157"/>
      <c r="D645" s="157"/>
      <c r="E645" s="157"/>
      <c r="F645" s="157"/>
      <c r="G645" s="224"/>
      <c r="H645" s="157"/>
      <c r="I645" s="157"/>
      <c r="J645" s="157"/>
      <c r="K645" s="157"/>
      <c r="L645" s="38"/>
      <c r="M645" s="38"/>
      <c r="N645" s="38"/>
      <c r="O645" s="38"/>
      <c r="P645" s="38"/>
      <c r="Q645" s="38"/>
      <c r="R645" s="38"/>
    </row>
    <row r="646" spans="1:18" s="75" customFormat="1" x14ac:dyDescent="0.2">
      <c r="A646" s="26"/>
      <c r="B646" s="26"/>
      <c r="C646" s="157"/>
      <c r="D646" s="157"/>
      <c r="E646" s="157"/>
      <c r="F646" s="157"/>
      <c r="G646" s="224"/>
      <c r="H646" s="157"/>
      <c r="I646" s="157"/>
      <c r="J646" s="157"/>
      <c r="K646" s="157"/>
      <c r="L646" s="38"/>
      <c r="M646" s="38"/>
      <c r="N646" s="38"/>
      <c r="O646" s="38"/>
      <c r="P646" s="38"/>
      <c r="Q646" s="38"/>
      <c r="R646" s="38"/>
    </row>
    <row r="647" spans="1:18" s="75" customFormat="1" x14ac:dyDescent="0.2">
      <c r="A647" s="26"/>
      <c r="B647" s="26"/>
      <c r="C647" s="157"/>
      <c r="D647" s="157"/>
      <c r="E647" s="157"/>
      <c r="F647" s="157"/>
      <c r="G647" s="224"/>
      <c r="H647" s="157"/>
      <c r="I647" s="157"/>
      <c r="J647" s="157"/>
      <c r="K647" s="157"/>
      <c r="L647" s="38"/>
      <c r="M647" s="38"/>
      <c r="N647" s="38"/>
      <c r="O647" s="38"/>
      <c r="P647" s="38"/>
      <c r="Q647" s="38"/>
      <c r="R647" s="38"/>
    </row>
    <row r="648" spans="1:18" s="75" customFormat="1" x14ac:dyDescent="0.2">
      <c r="A648" s="26"/>
      <c r="B648" s="26"/>
      <c r="C648" s="157"/>
      <c r="D648" s="157"/>
      <c r="E648" s="157"/>
      <c r="F648" s="157"/>
      <c r="G648" s="224"/>
      <c r="H648" s="157"/>
      <c r="I648" s="157"/>
      <c r="J648" s="157"/>
      <c r="K648" s="157"/>
      <c r="L648" s="38"/>
      <c r="M648" s="38"/>
      <c r="N648" s="38"/>
      <c r="O648" s="38"/>
      <c r="P648" s="38"/>
      <c r="Q648" s="38"/>
      <c r="R648" s="38"/>
    </row>
    <row r="649" spans="1:18" s="75" customFormat="1" x14ac:dyDescent="0.2">
      <c r="A649" s="26"/>
      <c r="B649" s="26"/>
      <c r="C649" s="157"/>
      <c r="D649" s="157"/>
      <c r="E649" s="157"/>
      <c r="F649" s="157"/>
      <c r="G649" s="224"/>
      <c r="H649" s="157"/>
      <c r="I649" s="157"/>
      <c r="J649" s="157"/>
      <c r="K649" s="157"/>
      <c r="L649" s="38"/>
      <c r="M649" s="38"/>
      <c r="N649" s="38"/>
      <c r="O649" s="38"/>
      <c r="P649" s="38"/>
      <c r="Q649" s="38"/>
      <c r="R649" s="38"/>
    </row>
    <row r="650" spans="1:18" s="75" customFormat="1" x14ac:dyDescent="0.2">
      <c r="A650" s="26"/>
      <c r="B650" s="26"/>
      <c r="C650" s="157"/>
      <c r="D650" s="157"/>
      <c r="E650" s="157"/>
      <c r="F650" s="157"/>
      <c r="G650" s="224"/>
      <c r="H650" s="157"/>
      <c r="I650" s="157"/>
      <c r="J650" s="157"/>
      <c r="K650" s="157"/>
      <c r="L650" s="38"/>
      <c r="M650" s="38"/>
      <c r="N650" s="38"/>
      <c r="O650" s="38"/>
      <c r="P650" s="38"/>
      <c r="Q650" s="38"/>
      <c r="R650" s="38"/>
    </row>
    <row r="651" spans="1:18" s="75" customFormat="1" x14ac:dyDescent="0.2">
      <c r="A651" s="26"/>
      <c r="B651" s="26"/>
      <c r="C651" s="157"/>
      <c r="D651" s="157"/>
      <c r="E651" s="157"/>
      <c r="F651" s="157"/>
      <c r="G651" s="224"/>
      <c r="H651" s="157"/>
      <c r="I651" s="157"/>
      <c r="J651" s="157"/>
      <c r="K651" s="157"/>
      <c r="L651" s="38"/>
      <c r="M651" s="38"/>
      <c r="N651" s="38"/>
      <c r="O651" s="38"/>
      <c r="P651" s="38"/>
      <c r="Q651" s="38"/>
      <c r="R651" s="38"/>
    </row>
    <row r="652" spans="1:18" s="75" customFormat="1" x14ac:dyDescent="0.2">
      <c r="A652" s="26"/>
      <c r="B652" s="26"/>
      <c r="C652" s="157"/>
      <c r="D652" s="157"/>
      <c r="E652" s="157"/>
      <c r="F652" s="157"/>
      <c r="G652" s="224"/>
      <c r="H652" s="157"/>
      <c r="I652" s="157"/>
      <c r="J652" s="157"/>
      <c r="K652" s="157"/>
      <c r="L652" s="38"/>
      <c r="M652" s="38"/>
      <c r="N652" s="38"/>
      <c r="O652" s="38"/>
      <c r="P652" s="38"/>
      <c r="Q652" s="38"/>
      <c r="R652" s="38"/>
    </row>
    <row r="653" spans="1:18" s="75" customFormat="1" x14ac:dyDescent="0.2">
      <c r="A653" s="26"/>
      <c r="B653" s="26"/>
      <c r="C653" s="157"/>
      <c r="D653" s="157"/>
      <c r="E653" s="157"/>
      <c r="F653" s="157"/>
      <c r="G653" s="224"/>
      <c r="H653" s="157"/>
      <c r="I653" s="157"/>
      <c r="J653" s="157"/>
      <c r="K653" s="157"/>
      <c r="L653" s="38"/>
      <c r="M653" s="38"/>
      <c r="N653" s="38"/>
      <c r="O653" s="38"/>
      <c r="P653" s="38"/>
      <c r="Q653" s="38"/>
      <c r="R653" s="38"/>
    </row>
    <row r="654" spans="1:18" s="75" customFormat="1" x14ac:dyDescent="0.2">
      <c r="A654" s="26"/>
      <c r="B654" s="26"/>
      <c r="C654" s="157"/>
      <c r="D654" s="157"/>
      <c r="E654" s="157"/>
      <c r="F654" s="157"/>
      <c r="G654" s="224"/>
      <c r="H654" s="157"/>
      <c r="I654" s="157"/>
      <c r="J654" s="157"/>
      <c r="K654" s="157"/>
      <c r="L654" s="38"/>
      <c r="M654" s="38"/>
      <c r="N654" s="38"/>
      <c r="O654" s="38"/>
      <c r="P654" s="38"/>
      <c r="Q654" s="38"/>
      <c r="R654" s="38"/>
    </row>
    <row r="655" spans="1:18" s="75" customFormat="1" x14ac:dyDescent="0.2">
      <c r="A655" s="26"/>
      <c r="B655" s="26"/>
      <c r="C655" s="157"/>
      <c r="D655" s="157"/>
      <c r="E655" s="157"/>
      <c r="F655" s="157"/>
      <c r="G655" s="224"/>
      <c r="H655" s="157"/>
      <c r="I655" s="157"/>
      <c r="J655" s="157"/>
      <c r="K655" s="157"/>
      <c r="L655" s="38"/>
      <c r="M655" s="38"/>
      <c r="N655" s="38"/>
      <c r="O655" s="38"/>
      <c r="P655" s="38"/>
      <c r="Q655" s="38"/>
      <c r="R655" s="38"/>
    </row>
    <row r="656" spans="1:18" s="75" customFormat="1" x14ac:dyDescent="0.2">
      <c r="A656" s="26"/>
      <c r="B656" s="26"/>
      <c r="C656" s="157"/>
      <c r="D656" s="157"/>
      <c r="E656" s="157"/>
      <c r="F656" s="157"/>
      <c r="G656" s="224"/>
      <c r="H656" s="157"/>
      <c r="I656" s="157"/>
      <c r="J656" s="157"/>
      <c r="K656" s="157"/>
      <c r="L656" s="38"/>
      <c r="M656" s="38"/>
      <c r="N656" s="38"/>
      <c r="O656" s="38"/>
      <c r="P656" s="38"/>
      <c r="Q656" s="38"/>
      <c r="R656" s="38"/>
    </row>
    <row r="657" spans="1:18" s="75" customFormat="1" x14ac:dyDescent="0.2">
      <c r="A657" s="26"/>
      <c r="B657" s="26"/>
      <c r="C657" s="157"/>
      <c r="D657" s="157"/>
      <c r="E657" s="157"/>
      <c r="F657" s="157"/>
      <c r="G657" s="224"/>
      <c r="H657" s="157"/>
      <c r="I657" s="157"/>
      <c r="J657" s="157"/>
      <c r="K657" s="157"/>
      <c r="L657" s="38"/>
      <c r="M657" s="38"/>
      <c r="N657" s="38"/>
      <c r="O657" s="38"/>
      <c r="P657" s="38"/>
      <c r="Q657" s="38"/>
      <c r="R657" s="38"/>
    </row>
    <row r="658" spans="1:18" s="75" customFormat="1" x14ac:dyDescent="0.2">
      <c r="A658" s="26"/>
      <c r="B658" s="26"/>
      <c r="C658" s="157"/>
      <c r="D658" s="157"/>
      <c r="E658" s="157"/>
      <c r="F658" s="157"/>
      <c r="G658" s="224"/>
      <c r="H658" s="157"/>
      <c r="I658" s="157"/>
      <c r="J658" s="157"/>
      <c r="K658" s="157"/>
      <c r="L658" s="38"/>
      <c r="M658" s="38"/>
      <c r="N658" s="38"/>
      <c r="O658" s="38"/>
      <c r="P658" s="38"/>
      <c r="Q658" s="38"/>
      <c r="R658" s="38"/>
    </row>
    <row r="659" spans="1:18" s="75" customFormat="1" x14ac:dyDescent="0.2">
      <c r="A659" s="26"/>
      <c r="B659" s="26"/>
      <c r="C659" s="157"/>
      <c r="D659" s="157"/>
      <c r="E659" s="157"/>
      <c r="F659" s="157"/>
      <c r="G659" s="224"/>
      <c r="H659" s="157"/>
      <c r="I659" s="157"/>
      <c r="J659" s="157"/>
      <c r="K659" s="157"/>
      <c r="L659" s="38"/>
      <c r="M659" s="38"/>
      <c r="N659" s="38"/>
      <c r="O659" s="38"/>
      <c r="P659" s="38"/>
      <c r="Q659" s="38"/>
      <c r="R659" s="38"/>
    </row>
    <row r="660" spans="1:18" s="75" customFormat="1" x14ac:dyDescent="0.2">
      <c r="A660" s="26"/>
      <c r="B660" s="26"/>
      <c r="C660" s="157"/>
      <c r="D660" s="157"/>
      <c r="E660" s="157"/>
      <c r="F660" s="157"/>
      <c r="G660" s="224"/>
      <c r="H660" s="157"/>
      <c r="I660" s="157"/>
      <c r="J660" s="157"/>
      <c r="K660" s="157"/>
      <c r="L660" s="38"/>
      <c r="M660" s="38"/>
      <c r="N660" s="38"/>
      <c r="O660" s="38"/>
      <c r="P660" s="38"/>
      <c r="Q660" s="38"/>
      <c r="R660" s="38"/>
    </row>
    <row r="661" spans="1:18" s="75" customFormat="1" x14ac:dyDescent="0.2">
      <c r="A661" s="26"/>
      <c r="B661" s="26"/>
      <c r="C661" s="157"/>
      <c r="D661" s="157"/>
      <c r="E661" s="157"/>
      <c r="F661" s="157"/>
      <c r="G661" s="224"/>
      <c r="H661" s="157"/>
      <c r="I661" s="157"/>
      <c r="J661" s="157"/>
      <c r="K661" s="157"/>
      <c r="L661" s="38"/>
      <c r="M661" s="38"/>
      <c r="N661" s="38"/>
      <c r="O661" s="38"/>
      <c r="P661" s="38"/>
      <c r="Q661" s="38"/>
      <c r="R661" s="38"/>
    </row>
    <row r="662" spans="1:18" s="75" customFormat="1" x14ac:dyDescent="0.2">
      <c r="A662" s="26"/>
      <c r="B662" s="26"/>
      <c r="C662" s="157"/>
      <c r="D662" s="157"/>
      <c r="E662" s="157"/>
      <c r="F662" s="157"/>
      <c r="G662" s="224"/>
      <c r="H662" s="157"/>
      <c r="I662" s="157"/>
      <c r="J662" s="157"/>
      <c r="K662" s="157"/>
      <c r="L662" s="38"/>
      <c r="M662" s="38"/>
      <c r="N662" s="38"/>
      <c r="O662" s="38"/>
      <c r="P662" s="38"/>
      <c r="Q662" s="38"/>
      <c r="R662" s="38"/>
    </row>
    <row r="663" spans="1:18" s="75" customFormat="1" x14ac:dyDescent="0.2">
      <c r="A663" s="26"/>
      <c r="B663" s="26"/>
      <c r="C663" s="157"/>
      <c r="D663" s="157"/>
      <c r="E663" s="157"/>
      <c r="F663" s="157"/>
      <c r="G663" s="224"/>
      <c r="H663" s="157"/>
      <c r="I663" s="157"/>
      <c r="J663" s="157"/>
      <c r="K663" s="157"/>
      <c r="L663" s="38"/>
      <c r="M663" s="38"/>
      <c r="N663" s="38"/>
      <c r="O663" s="38"/>
      <c r="P663" s="38"/>
      <c r="Q663" s="38"/>
      <c r="R663" s="38"/>
    </row>
    <row r="664" spans="1:18" s="75" customFormat="1" x14ac:dyDescent="0.2">
      <c r="A664" s="26"/>
      <c r="B664" s="26"/>
      <c r="C664" s="157"/>
      <c r="D664" s="157"/>
      <c r="E664" s="157"/>
      <c r="F664" s="157"/>
      <c r="G664" s="224"/>
      <c r="H664" s="157"/>
      <c r="I664" s="157"/>
      <c r="J664" s="157"/>
      <c r="K664" s="157"/>
      <c r="L664" s="38"/>
      <c r="M664" s="38"/>
      <c r="N664" s="38"/>
      <c r="O664" s="38"/>
      <c r="P664" s="38"/>
      <c r="Q664" s="38"/>
      <c r="R664" s="38"/>
    </row>
    <row r="665" spans="1:18" s="75" customFormat="1" x14ac:dyDescent="0.2">
      <c r="A665" s="26"/>
      <c r="B665" s="26"/>
      <c r="C665" s="157"/>
      <c r="D665" s="157"/>
      <c r="E665" s="157"/>
      <c r="F665" s="157"/>
      <c r="G665" s="224"/>
      <c r="H665" s="157"/>
      <c r="I665" s="157"/>
      <c r="J665" s="157"/>
      <c r="K665" s="157"/>
      <c r="L665" s="38"/>
      <c r="M665" s="38"/>
      <c r="N665" s="38"/>
      <c r="O665" s="38"/>
      <c r="P665" s="38"/>
      <c r="Q665" s="38"/>
      <c r="R665" s="38"/>
    </row>
    <row r="666" spans="1:18" s="75" customFormat="1" x14ac:dyDescent="0.2">
      <c r="A666" s="26"/>
      <c r="B666" s="26"/>
      <c r="C666" s="157"/>
      <c r="D666" s="157"/>
      <c r="E666" s="157"/>
      <c r="F666" s="157"/>
      <c r="G666" s="224"/>
      <c r="H666" s="157"/>
      <c r="I666" s="157"/>
      <c r="J666" s="157"/>
      <c r="K666" s="157"/>
      <c r="L666" s="38"/>
      <c r="M666" s="38"/>
      <c r="N666" s="38"/>
      <c r="O666" s="38"/>
      <c r="P666" s="38"/>
      <c r="Q666" s="38"/>
      <c r="R666" s="38"/>
    </row>
    <row r="667" spans="1:18" s="75" customFormat="1" x14ac:dyDescent="0.2">
      <c r="A667" s="26"/>
      <c r="B667" s="26"/>
      <c r="C667" s="157"/>
      <c r="D667" s="157"/>
      <c r="E667" s="157"/>
      <c r="F667" s="157"/>
      <c r="G667" s="224"/>
      <c r="H667" s="157"/>
      <c r="I667" s="157"/>
      <c r="J667" s="157"/>
      <c r="K667" s="157"/>
      <c r="L667" s="38"/>
      <c r="M667" s="38"/>
      <c r="N667" s="38"/>
      <c r="O667" s="38"/>
      <c r="P667" s="38"/>
      <c r="Q667" s="38"/>
      <c r="R667" s="38"/>
    </row>
    <row r="668" spans="1:18" s="75" customFormat="1" x14ac:dyDescent="0.2">
      <c r="A668" s="26"/>
      <c r="B668" s="26"/>
      <c r="C668" s="157"/>
      <c r="D668" s="157"/>
      <c r="E668" s="157"/>
      <c r="F668" s="157"/>
      <c r="G668" s="224"/>
      <c r="H668" s="157"/>
      <c r="I668" s="157"/>
      <c r="J668" s="157"/>
      <c r="K668" s="157"/>
      <c r="L668" s="38"/>
      <c r="M668" s="38"/>
      <c r="N668" s="38"/>
      <c r="O668" s="38"/>
      <c r="P668" s="38"/>
      <c r="Q668" s="38"/>
      <c r="R668" s="38"/>
    </row>
    <row r="669" spans="1:18" s="75" customFormat="1" x14ac:dyDescent="0.2">
      <c r="A669" s="26"/>
      <c r="B669" s="26"/>
      <c r="C669" s="157"/>
      <c r="D669" s="157"/>
      <c r="E669" s="157"/>
      <c r="F669" s="157"/>
      <c r="G669" s="224"/>
      <c r="H669" s="157"/>
      <c r="I669" s="157"/>
      <c r="J669" s="157"/>
      <c r="K669" s="157"/>
      <c r="L669" s="38"/>
      <c r="M669" s="38"/>
      <c r="N669" s="38"/>
      <c r="O669" s="38"/>
      <c r="P669" s="38"/>
      <c r="Q669" s="38"/>
      <c r="R669" s="38"/>
    </row>
    <row r="670" spans="1:18" s="75" customFormat="1" x14ac:dyDescent="0.2">
      <c r="A670" s="26"/>
      <c r="B670" s="26"/>
      <c r="C670" s="157"/>
      <c r="D670" s="157"/>
      <c r="E670" s="157"/>
      <c r="F670" s="157"/>
      <c r="G670" s="224"/>
      <c r="H670" s="157"/>
      <c r="I670" s="157"/>
      <c r="J670" s="157"/>
      <c r="K670" s="157"/>
      <c r="L670" s="38"/>
      <c r="M670" s="38"/>
      <c r="N670" s="38"/>
      <c r="O670" s="38"/>
      <c r="P670" s="38"/>
      <c r="Q670" s="38"/>
      <c r="R670" s="38"/>
    </row>
    <row r="671" spans="1:18" s="75" customFormat="1" x14ac:dyDescent="0.2">
      <c r="A671" s="26"/>
      <c r="B671" s="26"/>
      <c r="C671" s="157"/>
      <c r="D671" s="157"/>
      <c r="E671" s="157"/>
      <c r="F671" s="157"/>
      <c r="G671" s="224"/>
      <c r="H671" s="157"/>
      <c r="I671" s="157"/>
      <c r="J671" s="157"/>
      <c r="K671" s="157"/>
      <c r="L671" s="38"/>
      <c r="M671" s="38"/>
      <c r="N671" s="38"/>
      <c r="O671" s="38"/>
      <c r="P671" s="38"/>
      <c r="Q671" s="38"/>
      <c r="R671" s="38"/>
    </row>
    <row r="672" spans="1:18" s="75" customFormat="1" x14ac:dyDescent="0.2">
      <c r="A672" s="26"/>
      <c r="B672" s="26"/>
      <c r="C672" s="157"/>
      <c r="D672" s="157"/>
      <c r="E672" s="157"/>
      <c r="F672" s="157"/>
      <c r="G672" s="224"/>
      <c r="H672" s="157"/>
      <c r="I672" s="157"/>
      <c r="J672" s="157"/>
      <c r="K672" s="157"/>
      <c r="L672" s="38"/>
      <c r="M672" s="38"/>
      <c r="N672" s="38"/>
      <c r="O672" s="38"/>
      <c r="P672" s="38"/>
      <c r="Q672" s="38"/>
      <c r="R672" s="38"/>
    </row>
    <row r="673" spans="1:18" s="75" customFormat="1" x14ac:dyDescent="0.2">
      <c r="A673" s="26"/>
      <c r="B673" s="26"/>
      <c r="C673" s="157"/>
      <c r="D673" s="157"/>
      <c r="E673" s="157"/>
      <c r="F673" s="157"/>
      <c r="G673" s="224"/>
      <c r="H673" s="157"/>
      <c r="I673" s="157"/>
      <c r="J673" s="157"/>
      <c r="K673" s="157"/>
      <c r="L673" s="38"/>
      <c r="M673" s="38"/>
      <c r="N673" s="38"/>
      <c r="O673" s="38"/>
      <c r="P673" s="38"/>
      <c r="Q673" s="38"/>
      <c r="R673" s="38"/>
    </row>
    <row r="674" spans="1:18" s="75" customFormat="1" x14ac:dyDescent="0.2">
      <c r="A674" s="26"/>
      <c r="B674" s="26"/>
      <c r="C674" s="157"/>
      <c r="D674" s="157"/>
      <c r="E674" s="157"/>
      <c r="F674" s="157"/>
      <c r="G674" s="224"/>
      <c r="H674" s="157"/>
      <c r="I674" s="157"/>
      <c r="J674" s="157"/>
      <c r="K674" s="157"/>
      <c r="L674" s="38"/>
      <c r="M674" s="38"/>
      <c r="N674" s="38"/>
      <c r="O674" s="38"/>
      <c r="P674" s="38"/>
      <c r="Q674" s="38"/>
      <c r="R674" s="38"/>
    </row>
    <row r="675" spans="1:18" s="75" customFormat="1" x14ac:dyDescent="0.2">
      <c r="A675" s="26"/>
      <c r="B675" s="26"/>
      <c r="C675" s="157"/>
      <c r="D675" s="157"/>
      <c r="E675" s="157"/>
      <c r="F675" s="157"/>
      <c r="G675" s="224"/>
      <c r="H675" s="157"/>
      <c r="I675" s="157"/>
      <c r="J675" s="157"/>
      <c r="K675" s="157"/>
      <c r="L675" s="38"/>
      <c r="M675" s="38"/>
      <c r="N675" s="38"/>
      <c r="O675" s="38"/>
      <c r="P675" s="38"/>
      <c r="Q675" s="38"/>
      <c r="R675" s="38"/>
    </row>
    <row r="676" spans="1:18" s="75" customFormat="1" x14ac:dyDescent="0.2">
      <c r="A676" s="26"/>
      <c r="B676" s="26"/>
      <c r="C676" s="157"/>
      <c r="D676" s="157"/>
      <c r="E676" s="157"/>
      <c r="F676" s="157"/>
      <c r="G676" s="224"/>
      <c r="H676" s="157"/>
      <c r="I676" s="157"/>
      <c r="J676" s="157"/>
      <c r="K676" s="157"/>
      <c r="L676" s="38"/>
      <c r="M676" s="38"/>
      <c r="N676" s="38"/>
      <c r="O676" s="38"/>
      <c r="P676" s="38"/>
      <c r="Q676" s="38"/>
      <c r="R676" s="38"/>
    </row>
    <row r="677" spans="1:18" s="75" customFormat="1" x14ac:dyDescent="0.2">
      <c r="A677" s="26"/>
      <c r="B677" s="26"/>
      <c r="C677" s="157"/>
      <c r="D677" s="157"/>
      <c r="E677" s="157"/>
      <c r="F677" s="157"/>
      <c r="G677" s="224"/>
      <c r="H677" s="157"/>
      <c r="I677" s="157"/>
      <c r="J677" s="157"/>
      <c r="K677" s="157"/>
      <c r="L677" s="38"/>
      <c r="M677" s="38"/>
      <c r="N677" s="38"/>
      <c r="O677" s="38"/>
      <c r="P677" s="38"/>
      <c r="Q677" s="38"/>
      <c r="R677" s="38"/>
    </row>
    <row r="678" spans="1:18" s="75" customFormat="1" x14ac:dyDescent="0.2">
      <c r="A678" s="26"/>
      <c r="B678" s="26"/>
      <c r="C678" s="157"/>
      <c r="D678" s="157"/>
      <c r="E678" s="157"/>
      <c r="F678" s="157"/>
      <c r="G678" s="224"/>
      <c r="H678" s="157"/>
      <c r="I678" s="157"/>
      <c r="J678" s="157"/>
      <c r="K678" s="157"/>
      <c r="L678" s="38"/>
      <c r="M678" s="38"/>
      <c r="N678" s="38"/>
      <c r="O678" s="38"/>
      <c r="P678" s="38"/>
      <c r="Q678" s="38"/>
      <c r="R678" s="38"/>
    </row>
    <row r="679" spans="1:18" s="75" customFormat="1" x14ac:dyDescent="0.2">
      <c r="A679" s="26"/>
      <c r="B679" s="26"/>
      <c r="C679" s="157"/>
      <c r="D679" s="157"/>
      <c r="E679" s="157"/>
      <c r="F679" s="157"/>
      <c r="G679" s="224"/>
      <c r="H679" s="157"/>
      <c r="I679" s="157"/>
      <c r="J679" s="157"/>
      <c r="K679" s="157"/>
      <c r="L679" s="38"/>
      <c r="M679" s="38"/>
      <c r="N679" s="38"/>
      <c r="O679" s="38"/>
      <c r="P679" s="38"/>
      <c r="Q679" s="38"/>
      <c r="R679" s="38"/>
    </row>
    <row r="680" spans="1:18" s="75" customFormat="1" x14ac:dyDescent="0.2">
      <c r="A680" s="26"/>
      <c r="B680" s="26"/>
      <c r="C680" s="157"/>
      <c r="D680" s="157"/>
      <c r="E680" s="157"/>
      <c r="F680" s="157"/>
      <c r="G680" s="224"/>
      <c r="H680" s="157"/>
      <c r="I680" s="157"/>
      <c r="J680" s="157"/>
      <c r="K680" s="157"/>
      <c r="L680" s="38"/>
      <c r="M680" s="38"/>
      <c r="N680" s="38"/>
      <c r="O680" s="38"/>
      <c r="P680" s="38"/>
      <c r="Q680" s="38"/>
      <c r="R680" s="38"/>
    </row>
    <row r="681" spans="1:18" s="75" customFormat="1" x14ac:dyDescent="0.2">
      <c r="A681" s="26"/>
      <c r="B681" s="26"/>
      <c r="C681" s="157"/>
      <c r="D681" s="157"/>
      <c r="E681" s="157"/>
      <c r="F681" s="157"/>
      <c r="G681" s="224"/>
      <c r="H681" s="157"/>
      <c r="I681" s="157"/>
      <c r="J681" s="157"/>
      <c r="K681" s="157"/>
      <c r="L681" s="38"/>
      <c r="M681" s="38"/>
      <c r="N681" s="38"/>
      <c r="O681" s="38"/>
      <c r="P681" s="38"/>
      <c r="Q681" s="38"/>
      <c r="R681" s="38"/>
    </row>
    <row r="682" spans="1:18" s="75" customFormat="1" x14ac:dyDescent="0.2">
      <c r="A682" s="26"/>
      <c r="B682" s="26"/>
      <c r="C682" s="157"/>
      <c r="D682" s="157"/>
      <c r="E682" s="157"/>
      <c r="F682" s="157"/>
      <c r="G682" s="224"/>
      <c r="H682" s="157"/>
      <c r="I682" s="157"/>
      <c r="J682" s="157"/>
      <c r="K682" s="157"/>
      <c r="L682" s="38"/>
      <c r="M682" s="38"/>
      <c r="N682" s="38"/>
      <c r="O682" s="38"/>
      <c r="P682" s="38"/>
      <c r="Q682" s="38"/>
      <c r="R682" s="38"/>
    </row>
    <row r="683" spans="1:18" s="75" customFormat="1" x14ac:dyDescent="0.2">
      <c r="A683" s="26"/>
      <c r="B683" s="26"/>
      <c r="C683" s="157"/>
      <c r="D683" s="157"/>
      <c r="E683" s="157"/>
      <c r="F683" s="157"/>
      <c r="G683" s="224"/>
      <c r="H683" s="157"/>
      <c r="I683" s="157"/>
      <c r="J683" s="157"/>
      <c r="K683" s="157"/>
      <c r="L683" s="38"/>
      <c r="M683" s="38"/>
      <c r="N683" s="38"/>
      <c r="O683" s="38"/>
      <c r="P683" s="38"/>
      <c r="Q683" s="38"/>
      <c r="R683" s="38"/>
    </row>
    <row r="684" spans="1:18" s="75" customFormat="1" x14ac:dyDescent="0.2">
      <c r="A684" s="26"/>
      <c r="B684" s="26"/>
      <c r="C684" s="157"/>
      <c r="D684" s="157"/>
      <c r="E684" s="157"/>
      <c r="F684" s="157"/>
      <c r="G684" s="224"/>
      <c r="H684" s="157"/>
      <c r="I684" s="157"/>
      <c r="J684" s="157"/>
      <c r="K684" s="157"/>
      <c r="L684" s="38"/>
      <c r="M684" s="38"/>
      <c r="N684" s="38"/>
      <c r="O684" s="38"/>
      <c r="P684" s="38"/>
      <c r="Q684" s="38"/>
      <c r="R684" s="38"/>
    </row>
    <row r="685" spans="1:18" s="75" customFormat="1" x14ac:dyDescent="0.2">
      <c r="A685" s="26"/>
      <c r="B685" s="26"/>
      <c r="C685" s="157"/>
      <c r="D685" s="157"/>
      <c r="E685" s="157"/>
      <c r="F685" s="157"/>
      <c r="G685" s="224"/>
      <c r="H685" s="157"/>
      <c r="I685" s="157"/>
      <c r="J685" s="157"/>
      <c r="K685" s="157"/>
      <c r="L685" s="38"/>
      <c r="M685" s="38"/>
      <c r="N685" s="38"/>
      <c r="O685" s="38"/>
      <c r="P685" s="38"/>
      <c r="Q685" s="38"/>
      <c r="R685" s="38"/>
    </row>
    <row r="686" spans="1:18" s="75" customFormat="1" x14ac:dyDescent="0.2">
      <c r="A686" s="26"/>
      <c r="B686" s="26"/>
      <c r="C686" s="157"/>
      <c r="D686" s="157"/>
      <c r="E686" s="157"/>
      <c r="F686" s="157"/>
      <c r="G686" s="224"/>
      <c r="H686" s="157"/>
      <c r="I686" s="157"/>
      <c r="J686" s="157"/>
      <c r="K686" s="157"/>
      <c r="L686" s="38"/>
      <c r="M686" s="38"/>
      <c r="N686" s="38"/>
      <c r="O686" s="38"/>
      <c r="P686" s="38"/>
      <c r="Q686" s="38"/>
      <c r="R686" s="38"/>
    </row>
    <row r="687" spans="1:18" s="75" customFormat="1" x14ac:dyDescent="0.2">
      <c r="A687" s="26"/>
      <c r="B687" s="26"/>
      <c r="C687" s="157"/>
      <c r="D687" s="157"/>
      <c r="E687" s="157"/>
      <c r="F687" s="157"/>
      <c r="G687" s="224"/>
      <c r="H687" s="157"/>
      <c r="I687" s="157"/>
      <c r="J687" s="157"/>
      <c r="K687" s="157"/>
      <c r="L687" s="38"/>
      <c r="M687" s="38"/>
      <c r="N687" s="38"/>
      <c r="O687" s="38"/>
      <c r="P687" s="38"/>
      <c r="Q687" s="38"/>
      <c r="R687" s="38"/>
    </row>
    <row r="688" spans="1:18" s="75" customFormat="1" x14ac:dyDescent="0.2">
      <c r="A688" s="26"/>
      <c r="B688" s="26"/>
      <c r="C688" s="157"/>
      <c r="D688" s="157"/>
      <c r="E688" s="157"/>
      <c r="F688" s="157"/>
      <c r="G688" s="224"/>
      <c r="H688" s="157"/>
      <c r="I688" s="157"/>
      <c r="J688" s="157"/>
      <c r="K688" s="157"/>
      <c r="L688" s="38"/>
      <c r="M688" s="38"/>
      <c r="N688" s="38"/>
      <c r="O688" s="38"/>
      <c r="P688" s="38"/>
      <c r="Q688" s="38"/>
      <c r="R688" s="38"/>
    </row>
    <row r="689" spans="1:18" s="75" customFormat="1" x14ac:dyDescent="0.2">
      <c r="A689" s="26"/>
      <c r="B689" s="26"/>
      <c r="C689" s="157"/>
      <c r="D689" s="157"/>
      <c r="E689" s="157"/>
      <c r="F689" s="157"/>
      <c r="G689" s="224"/>
      <c r="H689" s="157"/>
      <c r="I689" s="157"/>
      <c r="J689" s="157"/>
      <c r="K689" s="157"/>
      <c r="L689" s="38"/>
      <c r="M689" s="38"/>
      <c r="N689" s="38"/>
      <c r="O689" s="38"/>
      <c r="P689" s="38"/>
      <c r="Q689" s="38"/>
      <c r="R689" s="38"/>
    </row>
    <row r="690" spans="1:18" s="75" customFormat="1" x14ac:dyDescent="0.2">
      <c r="A690" s="26"/>
      <c r="B690" s="26"/>
      <c r="C690" s="157"/>
      <c r="D690" s="157"/>
      <c r="E690" s="157"/>
      <c r="F690" s="157"/>
      <c r="G690" s="224"/>
      <c r="H690" s="157"/>
      <c r="I690" s="157"/>
      <c r="J690" s="157"/>
      <c r="K690" s="157"/>
      <c r="L690" s="38"/>
      <c r="M690" s="38"/>
      <c r="N690" s="38"/>
      <c r="O690" s="38"/>
      <c r="P690" s="38"/>
      <c r="Q690" s="38"/>
      <c r="R690" s="38"/>
    </row>
    <row r="691" spans="1:18" s="75" customFormat="1" x14ac:dyDescent="0.2">
      <c r="A691" s="26"/>
      <c r="B691" s="26"/>
      <c r="C691" s="157"/>
      <c r="D691" s="157"/>
      <c r="E691" s="157"/>
      <c r="F691" s="157"/>
      <c r="G691" s="224"/>
      <c r="H691" s="157"/>
      <c r="I691" s="157"/>
      <c r="J691" s="157"/>
      <c r="K691" s="157"/>
      <c r="L691" s="38"/>
      <c r="M691" s="38"/>
      <c r="N691" s="38"/>
      <c r="O691" s="38"/>
      <c r="P691" s="38"/>
      <c r="Q691" s="38"/>
      <c r="R691" s="38"/>
    </row>
    <row r="692" spans="1:18" s="75" customFormat="1" x14ac:dyDescent="0.2">
      <c r="A692" s="26"/>
      <c r="B692" s="26"/>
      <c r="C692" s="157"/>
      <c r="D692" s="157"/>
      <c r="E692" s="157"/>
      <c r="F692" s="157"/>
      <c r="G692" s="224"/>
      <c r="H692" s="157"/>
      <c r="I692" s="157"/>
      <c r="J692" s="157"/>
      <c r="K692" s="157"/>
      <c r="L692" s="38"/>
      <c r="M692" s="38"/>
      <c r="N692" s="38"/>
      <c r="O692" s="38"/>
      <c r="P692" s="38"/>
      <c r="Q692" s="38"/>
      <c r="R692" s="38"/>
    </row>
    <row r="693" spans="1:18" s="75" customFormat="1" x14ac:dyDescent="0.2">
      <c r="A693" s="26"/>
      <c r="B693" s="26"/>
      <c r="C693" s="157"/>
      <c r="D693" s="157"/>
      <c r="E693" s="157"/>
      <c r="F693" s="157"/>
      <c r="G693" s="224"/>
      <c r="H693" s="157"/>
      <c r="I693" s="157"/>
      <c r="J693" s="157"/>
      <c r="K693" s="157"/>
      <c r="L693" s="38"/>
      <c r="M693" s="38"/>
      <c r="N693" s="38"/>
      <c r="O693" s="38"/>
      <c r="P693" s="38"/>
      <c r="Q693" s="38"/>
      <c r="R693" s="38"/>
    </row>
    <row r="694" spans="1:18" s="75" customFormat="1" x14ac:dyDescent="0.2">
      <c r="A694" s="26"/>
      <c r="B694" s="26"/>
      <c r="C694" s="157"/>
      <c r="D694" s="157"/>
      <c r="E694" s="157"/>
      <c r="F694" s="157"/>
      <c r="G694" s="224"/>
      <c r="H694" s="157"/>
      <c r="I694" s="157"/>
      <c r="J694" s="157"/>
      <c r="K694" s="157"/>
      <c r="L694" s="38"/>
      <c r="M694" s="38"/>
      <c r="N694" s="38"/>
      <c r="O694" s="38"/>
      <c r="P694" s="38"/>
      <c r="Q694" s="38"/>
      <c r="R694" s="38"/>
    </row>
    <row r="695" spans="1:18" s="75" customFormat="1" x14ac:dyDescent="0.2">
      <c r="A695" s="26"/>
      <c r="B695" s="26"/>
      <c r="C695" s="157"/>
      <c r="D695" s="157"/>
      <c r="E695" s="157"/>
      <c r="F695" s="157"/>
      <c r="G695" s="224"/>
      <c r="H695" s="157"/>
      <c r="I695" s="157"/>
      <c r="J695" s="157"/>
      <c r="K695" s="157"/>
      <c r="L695" s="38"/>
      <c r="M695" s="38"/>
      <c r="N695" s="38"/>
      <c r="O695" s="38"/>
      <c r="P695" s="38"/>
      <c r="Q695" s="38"/>
      <c r="R695" s="38"/>
    </row>
    <row r="696" spans="1:18" s="75" customFormat="1" x14ac:dyDescent="0.2">
      <c r="A696" s="26"/>
      <c r="B696" s="26"/>
      <c r="C696" s="157"/>
      <c r="D696" s="157"/>
      <c r="E696" s="157"/>
      <c r="F696" s="157"/>
      <c r="G696" s="224"/>
      <c r="H696" s="157"/>
      <c r="I696" s="157"/>
      <c r="J696" s="157"/>
      <c r="K696" s="157"/>
      <c r="L696" s="38"/>
      <c r="M696" s="38"/>
      <c r="N696" s="38"/>
      <c r="O696" s="38"/>
      <c r="P696" s="38"/>
      <c r="Q696" s="38"/>
      <c r="R696" s="38"/>
    </row>
    <row r="697" spans="1:18" s="75" customFormat="1" x14ac:dyDescent="0.2">
      <c r="A697" s="26"/>
      <c r="B697" s="26"/>
      <c r="C697" s="157"/>
      <c r="D697" s="157"/>
      <c r="E697" s="157"/>
      <c r="F697" s="157"/>
      <c r="G697" s="224"/>
      <c r="H697" s="157"/>
      <c r="I697" s="157"/>
      <c r="J697" s="157"/>
      <c r="K697" s="157"/>
      <c r="L697" s="38"/>
      <c r="M697" s="38"/>
      <c r="N697" s="38"/>
      <c r="O697" s="38"/>
      <c r="P697" s="38"/>
      <c r="Q697" s="38"/>
      <c r="R697" s="38"/>
    </row>
    <row r="698" spans="1:18" s="75" customFormat="1" x14ac:dyDescent="0.2">
      <c r="A698" s="26"/>
      <c r="B698" s="26"/>
      <c r="C698" s="157"/>
      <c r="D698" s="157"/>
      <c r="E698" s="157"/>
      <c r="F698" s="157"/>
      <c r="G698" s="224"/>
      <c r="H698" s="157"/>
      <c r="I698" s="157"/>
      <c r="J698" s="157"/>
      <c r="K698" s="157"/>
      <c r="L698" s="38"/>
      <c r="M698" s="38"/>
      <c r="N698" s="38"/>
      <c r="O698" s="38"/>
      <c r="P698" s="38"/>
      <c r="Q698" s="38"/>
      <c r="R698" s="38"/>
    </row>
    <row r="699" spans="1:18" s="75" customFormat="1" x14ac:dyDescent="0.2">
      <c r="A699" s="26"/>
      <c r="B699" s="26"/>
      <c r="C699" s="157"/>
      <c r="D699" s="157"/>
      <c r="E699" s="157"/>
      <c r="F699" s="157"/>
      <c r="G699" s="224"/>
      <c r="H699" s="157"/>
      <c r="I699" s="157"/>
      <c r="J699" s="157"/>
      <c r="K699" s="157"/>
      <c r="L699" s="38"/>
      <c r="M699" s="38"/>
      <c r="N699" s="38"/>
      <c r="O699" s="38"/>
      <c r="P699" s="38"/>
      <c r="Q699" s="38"/>
      <c r="R699" s="38"/>
    </row>
    <row r="700" spans="1:18" s="75" customFormat="1" x14ac:dyDescent="0.2">
      <c r="A700" s="26"/>
      <c r="B700" s="26"/>
      <c r="C700" s="157"/>
      <c r="D700" s="157"/>
      <c r="E700" s="157"/>
      <c r="F700" s="157"/>
      <c r="G700" s="224"/>
      <c r="H700" s="157"/>
      <c r="I700" s="157"/>
      <c r="J700" s="157"/>
      <c r="K700" s="157"/>
      <c r="L700" s="38"/>
      <c r="M700" s="38"/>
      <c r="N700" s="38"/>
      <c r="O700" s="38"/>
      <c r="P700" s="38"/>
      <c r="Q700" s="38"/>
      <c r="R700" s="38"/>
    </row>
    <row r="701" spans="1:18" s="75" customFormat="1" x14ac:dyDescent="0.2">
      <c r="A701" s="26"/>
      <c r="B701" s="26"/>
      <c r="C701" s="157"/>
      <c r="D701" s="157"/>
      <c r="E701" s="157"/>
      <c r="F701" s="157"/>
      <c r="G701" s="224"/>
      <c r="H701" s="157"/>
      <c r="I701" s="157"/>
      <c r="J701" s="157"/>
      <c r="K701" s="157"/>
      <c r="L701" s="38"/>
      <c r="M701" s="38"/>
      <c r="N701" s="38"/>
      <c r="O701" s="38"/>
      <c r="P701" s="38"/>
      <c r="Q701" s="38"/>
      <c r="R701" s="38"/>
    </row>
    <row r="702" spans="1:18" s="75" customFormat="1" x14ac:dyDescent="0.2">
      <c r="A702" s="26"/>
      <c r="B702" s="26"/>
      <c r="C702" s="157"/>
      <c r="D702" s="157"/>
      <c r="E702" s="157"/>
      <c r="F702" s="157"/>
      <c r="G702" s="224"/>
      <c r="H702" s="157"/>
      <c r="I702" s="157"/>
      <c r="J702" s="157"/>
      <c r="K702" s="157"/>
      <c r="L702" s="38"/>
      <c r="M702" s="38"/>
      <c r="N702" s="38"/>
      <c r="O702" s="38"/>
      <c r="P702" s="38"/>
      <c r="Q702" s="38"/>
      <c r="R702" s="38"/>
    </row>
    <row r="703" spans="1:18" s="75" customFormat="1" x14ac:dyDescent="0.2">
      <c r="A703" s="26"/>
      <c r="B703" s="26"/>
      <c r="C703" s="157"/>
      <c r="D703" s="157"/>
      <c r="E703" s="157"/>
      <c r="F703" s="157"/>
      <c r="G703" s="224"/>
      <c r="H703" s="157"/>
      <c r="I703" s="157"/>
      <c r="J703" s="157"/>
      <c r="K703" s="157"/>
      <c r="L703" s="38"/>
      <c r="M703" s="38"/>
      <c r="N703" s="38"/>
      <c r="O703" s="38"/>
      <c r="P703" s="38"/>
      <c r="Q703" s="38"/>
      <c r="R703" s="38"/>
    </row>
    <row r="704" spans="1:18" s="75" customFormat="1" x14ac:dyDescent="0.2">
      <c r="A704" s="26"/>
      <c r="B704" s="26"/>
      <c r="C704" s="157"/>
      <c r="D704" s="157"/>
      <c r="E704" s="157"/>
      <c r="F704" s="157"/>
      <c r="G704" s="224"/>
      <c r="H704" s="157"/>
      <c r="I704" s="157"/>
      <c r="J704" s="157"/>
      <c r="K704" s="157"/>
      <c r="L704" s="38"/>
      <c r="M704" s="38"/>
      <c r="N704" s="38"/>
      <c r="O704" s="38"/>
      <c r="P704" s="38"/>
      <c r="Q704" s="38"/>
      <c r="R704" s="38"/>
    </row>
    <row r="705" spans="1:18" s="75" customFormat="1" x14ac:dyDescent="0.2">
      <c r="A705" s="26"/>
      <c r="B705" s="26"/>
      <c r="C705" s="157"/>
      <c r="D705" s="157"/>
      <c r="E705" s="157"/>
      <c r="F705" s="157"/>
      <c r="G705" s="224"/>
      <c r="H705" s="157"/>
      <c r="I705" s="157"/>
      <c r="J705" s="157"/>
      <c r="K705" s="157"/>
      <c r="L705" s="38"/>
      <c r="M705" s="38"/>
      <c r="N705" s="38"/>
      <c r="O705" s="38"/>
      <c r="P705" s="38"/>
      <c r="Q705" s="38"/>
      <c r="R705" s="38"/>
    </row>
    <row r="706" spans="1:18" s="75" customFormat="1" x14ac:dyDescent="0.2">
      <c r="A706" s="26"/>
      <c r="B706" s="26"/>
      <c r="C706" s="157"/>
      <c r="D706" s="157"/>
      <c r="E706" s="157"/>
      <c r="F706" s="157"/>
      <c r="G706" s="224"/>
      <c r="H706" s="157"/>
      <c r="I706" s="157"/>
      <c r="J706" s="157"/>
      <c r="K706" s="157"/>
      <c r="L706" s="38"/>
      <c r="M706" s="38"/>
      <c r="N706" s="38"/>
      <c r="O706" s="38"/>
      <c r="P706" s="38"/>
      <c r="Q706" s="38"/>
      <c r="R706" s="38"/>
    </row>
    <row r="707" spans="1:18" s="75" customFormat="1" x14ac:dyDescent="0.2">
      <c r="A707" s="26"/>
      <c r="B707" s="26"/>
      <c r="C707" s="157"/>
      <c r="D707" s="157"/>
      <c r="E707" s="157"/>
      <c r="F707" s="157"/>
      <c r="G707" s="224"/>
      <c r="H707" s="157"/>
      <c r="I707" s="157"/>
      <c r="J707" s="157"/>
      <c r="K707" s="157"/>
      <c r="L707" s="38"/>
      <c r="M707" s="38"/>
      <c r="N707" s="38"/>
      <c r="O707" s="38"/>
      <c r="P707" s="38"/>
      <c r="Q707" s="38"/>
      <c r="R707" s="38"/>
    </row>
    <row r="708" spans="1:18" s="75" customFormat="1" x14ac:dyDescent="0.2">
      <c r="A708" s="26"/>
      <c r="B708" s="26"/>
      <c r="C708" s="157"/>
      <c r="D708" s="157"/>
      <c r="E708" s="157"/>
      <c r="F708" s="157"/>
      <c r="G708" s="224"/>
      <c r="H708" s="157"/>
      <c r="I708" s="157"/>
      <c r="J708" s="157"/>
      <c r="K708" s="157"/>
      <c r="L708" s="38"/>
      <c r="M708" s="38"/>
      <c r="N708" s="38"/>
      <c r="O708" s="38"/>
      <c r="P708" s="38"/>
      <c r="Q708" s="38"/>
      <c r="R708" s="38"/>
    </row>
    <row r="709" spans="1:18" s="75" customFormat="1" x14ac:dyDescent="0.2">
      <c r="A709" s="26"/>
      <c r="B709" s="26"/>
      <c r="C709" s="157"/>
      <c r="D709" s="157"/>
      <c r="E709" s="157"/>
      <c r="F709" s="157"/>
      <c r="G709" s="224"/>
      <c r="H709" s="157"/>
      <c r="I709" s="157"/>
      <c r="J709" s="157"/>
      <c r="K709" s="157"/>
      <c r="L709" s="38"/>
      <c r="M709" s="38"/>
      <c r="N709" s="38"/>
      <c r="O709" s="38"/>
      <c r="P709" s="38"/>
      <c r="Q709" s="38"/>
      <c r="R709" s="38"/>
    </row>
    <row r="710" spans="1:18" s="75" customFormat="1" x14ac:dyDescent="0.2">
      <c r="A710" s="26"/>
      <c r="B710" s="26"/>
      <c r="C710" s="157"/>
      <c r="D710" s="157"/>
      <c r="E710" s="157"/>
      <c r="F710" s="157"/>
      <c r="G710" s="224"/>
      <c r="H710" s="157"/>
      <c r="I710" s="157"/>
      <c r="J710" s="157"/>
      <c r="K710" s="157"/>
      <c r="L710" s="38"/>
      <c r="M710" s="38"/>
      <c r="N710" s="38"/>
      <c r="O710" s="38"/>
      <c r="P710" s="38"/>
      <c r="Q710" s="38"/>
      <c r="R710" s="38"/>
    </row>
    <row r="711" spans="1:18" s="75" customFormat="1" x14ac:dyDescent="0.2">
      <c r="A711" s="26"/>
      <c r="B711" s="26"/>
      <c r="C711" s="157"/>
      <c r="D711" s="157"/>
      <c r="E711" s="157"/>
      <c r="F711" s="157"/>
      <c r="G711" s="224"/>
      <c r="H711" s="157"/>
      <c r="I711" s="157"/>
      <c r="J711" s="157"/>
      <c r="K711" s="157"/>
      <c r="L711" s="38"/>
      <c r="M711" s="38"/>
      <c r="N711" s="38"/>
      <c r="O711" s="38"/>
      <c r="P711" s="38"/>
      <c r="Q711" s="38"/>
      <c r="R711" s="38"/>
    </row>
    <row r="712" spans="1:18" s="73" customFormat="1" x14ac:dyDescent="0.2">
      <c r="A712" s="26"/>
      <c r="B712" s="26"/>
      <c r="C712" s="157"/>
      <c r="D712" s="157"/>
      <c r="E712" s="157"/>
      <c r="F712" s="157"/>
      <c r="G712" s="224"/>
      <c r="H712" s="157"/>
      <c r="I712" s="157"/>
      <c r="J712" s="157"/>
      <c r="K712" s="157"/>
      <c r="L712" s="38"/>
      <c r="M712" s="38"/>
      <c r="N712" s="38"/>
      <c r="O712" s="38"/>
      <c r="P712" s="38"/>
      <c r="Q712" s="38"/>
      <c r="R712" s="38"/>
    </row>
  </sheetData>
  <printOptions gridLines="1"/>
  <pageMargins left="0.31496062992125984" right="0.23622047244094491" top="0.35433070866141736" bottom="0.27559055118110237" header="0" footer="0"/>
  <pageSetup paperSize="9" scale="65" orientation="portrait" r:id="rId1"/>
  <headerFooter alignWithMargins="0">
    <oddFooter>&amp;L&amp;D&amp;C&amp;F-&amp;A</oddFooter>
  </headerFooter>
  <rowBreaks count="4" manualBreakCount="4">
    <brk id="85" max="16383" man="1"/>
    <brk id="130" max="16383" man="1"/>
    <brk id="183" max="16383" man="1"/>
    <brk id="2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X50"/>
  <sheetViews>
    <sheetView topLeftCell="A7" workbookViewId="0">
      <selection activeCell="K39" sqref="K39"/>
    </sheetView>
  </sheetViews>
  <sheetFormatPr baseColWidth="10" defaultRowHeight="12.75" x14ac:dyDescent="0.2"/>
  <cols>
    <col min="1" max="3" width="11.42578125" style="237"/>
    <col min="4" max="4" width="15.28515625" style="237" customWidth="1"/>
    <col min="5" max="6" width="11.42578125" style="237"/>
    <col min="7" max="8" width="11.42578125" style="278"/>
    <col min="9" max="10" width="11.42578125" style="379"/>
    <col min="11" max="12" width="11.42578125" style="277"/>
    <col min="13" max="13" width="2.5703125" style="410" customWidth="1"/>
    <col min="14" max="15" width="11.42578125" style="237"/>
    <col min="16" max="17" width="11.42578125" style="278"/>
    <col min="18" max="19" width="11.42578125" style="379"/>
    <col min="20" max="21" width="11.42578125" style="277"/>
    <col min="22" max="16384" width="11.42578125" style="237"/>
  </cols>
  <sheetData>
    <row r="4" spans="2:23" ht="13.5" thickBot="1" x14ac:dyDescent="0.25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</row>
    <row r="5" spans="2:23" ht="12.75" customHeight="1" x14ac:dyDescent="0.2">
      <c r="B5" s="243"/>
      <c r="C5" s="494" t="s">
        <v>374</v>
      </c>
      <c r="D5" s="495"/>
      <c r="E5" s="440" t="s">
        <v>414</v>
      </c>
      <c r="F5" s="441"/>
      <c r="G5" s="440" t="s">
        <v>404</v>
      </c>
      <c r="H5" s="441"/>
      <c r="I5" s="440" t="s">
        <v>402</v>
      </c>
      <c r="J5" s="451"/>
      <c r="K5" s="440" t="s">
        <v>403</v>
      </c>
      <c r="L5" s="496"/>
      <c r="M5" s="437"/>
      <c r="N5" s="494" t="s">
        <v>375</v>
      </c>
      <c r="O5" s="495"/>
      <c r="P5" s="440" t="s">
        <v>414</v>
      </c>
      <c r="Q5" s="441"/>
      <c r="R5" s="440" t="s">
        <v>404</v>
      </c>
      <c r="S5" s="441"/>
      <c r="T5" s="440" t="s">
        <v>402</v>
      </c>
      <c r="U5" s="451"/>
      <c r="V5" s="440" t="s">
        <v>403</v>
      </c>
      <c r="W5" s="441"/>
    </row>
    <row r="6" spans="2:23" ht="27" customHeight="1" thickBot="1" x14ac:dyDescent="0.25">
      <c r="B6" s="243"/>
      <c r="C6" s="433"/>
      <c r="D6" s="462"/>
      <c r="E6" s="442"/>
      <c r="F6" s="443"/>
      <c r="G6" s="442"/>
      <c r="H6" s="443"/>
      <c r="I6" s="442"/>
      <c r="J6" s="452"/>
      <c r="K6" s="442"/>
      <c r="L6" s="497"/>
      <c r="M6" s="438"/>
      <c r="N6" s="433"/>
      <c r="O6" s="462"/>
      <c r="P6" s="442"/>
      <c r="Q6" s="443"/>
      <c r="R6" s="442"/>
      <c r="S6" s="443"/>
      <c r="T6" s="442"/>
      <c r="U6" s="452"/>
      <c r="V6" s="442"/>
      <c r="W6" s="443"/>
    </row>
    <row r="7" spans="2:23" x14ac:dyDescent="0.2">
      <c r="B7" s="243"/>
      <c r="C7" s="498" t="s">
        <v>376</v>
      </c>
      <c r="D7" s="499"/>
      <c r="E7" s="489">
        <f>+'Activity budget  D'!I134+'Activity budget  D'!I135+'Activity budget  D'!I137+'Activity budget  D'!I138+'Activity budget  D'!I140+'Activity budget  D'!I141+'Activity budget  D'!I146+'Activity budget  D'!I147+'Activity budget  D'!I189+'Activity budget  D'!I190+'Activity budget  D'!D192+'Activity budget  D'!I193+'Activity budget  D'!I308+'Activity budget  D'!I148+'Activity budget  D'!J189+'Activity budget  D'!J190+'Activity budget  D'!J193</f>
        <v>143911</v>
      </c>
      <c r="F7" s="244"/>
      <c r="G7" s="489">
        <f>+'Activity budget  D'!G134+'Activity budget  D'!G135+'Activity budget  D'!G137+'Activity budget  D'!G138+'Activity budget  D'!G140+'Activity budget  D'!G141+'Activity budget  D'!G146+'Activity budget  D'!G147+'Activity budget  D'!G189+'Activity budget  D'!G190+'Activity budget  D'!G192+'Activity budget  D'!G193+'Activity budget  D'!G148</f>
        <v>174392</v>
      </c>
      <c r="H7" s="244"/>
      <c r="I7" s="489">
        <f>+'Activity budget  D'!D134+'Activity budget  D'!D135+'Activity budget  D'!D137+'Activity budget  D'!D138+'Activity budget  D'!D140+'Activity budget  D'!D141+'Activity budget  D'!D146+'Activity budget  D'!D147+'Activity budget  D'!D189+'Activity budget  D'!D190+'Activity budget  D'!D192+'Activity budget  D'!D193+'Activity budget  D'!D148</f>
        <v>124500</v>
      </c>
      <c r="J7" s="244"/>
      <c r="K7" s="396"/>
      <c r="L7" s="489">
        <f>+'Activity budget  D'!F134+'Activity budget  D'!F135+'Activity budget  D'!F137+'Activity budget  D'!F138+'Activity budget  D'!F140+'Activity budget  D'!F141+'Activity budget  D'!F146+'Activity budget  D'!F147+'Activity budget  D'!F189+'Activity budget  D'!F190+'Activity budget  D'!F192+'Activity budget  D'!F193+'Activity budget  D'!F148</f>
        <v>161963</v>
      </c>
      <c r="M7" s="438"/>
      <c r="N7" s="500" t="s">
        <v>377</v>
      </c>
      <c r="O7" s="501"/>
      <c r="P7" s="423">
        <f>SUM(Q9:Q12)</f>
        <v>734685</v>
      </c>
      <c r="Q7" s="450"/>
      <c r="R7" s="423">
        <f>SUM(S9:S12)</f>
        <v>730147</v>
      </c>
      <c r="S7" s="245"/>
      <c r="T7" s="457">
        <f>SUM(U9:U12)</f>
        <v>730350</v>
      </c>
      <c r="U7" s="458"/>
      <c r="V7" s="423">
        <f>SUM(W9:W12)</f>
        <v>730350</v>
      </c>
      <c r="W7" s="444"/>
    </row>
    <row r="8" spans="2:23" ht="13.5" thickBot="1" x14ac:dyDescent="0.25">
      <c r="B8" s="243"/>
      <c r="C8" s="414"/>
      <c r="D8" s="488"/>
      <c r="E8" s="490"/>
      <c r="F8" s="246"/>
      <c r="G8" s="490"/>
      <c r="H8" s="246"/>
      <c r="I8" s="490"/>
      <c r="J8" s="246"/>
      <c r="K8" s="280"/>
      <c r="L8" s="490"/>
      <c r="M8" s="438"/>
      <c r="N8" s="502"/>
      <c r="O8" s="503"/>
      <c r="P8" s="416"/>
      <c r="Q8" s="425"/>
      <c r="R8" s="416"/>
      <c r="S8" s="247"/>
      <c r="T8" s="454"/>
      <c r="U8" s="456"/>
      <c r="V8" s="416"/>
      <c r="W8" s="445"/>
    </row>
    <row r="9" spans="2:23" x14ac:dyDescent="0.2">
      <c r="B9" s="243"/>
      <c r="C9" s="463" t="s">
        <v>378</v>
      </c>
      <c r="D9" s="488"/>
      <c r="E9" s="489">
        <f>+'Activity budget  D'!I24+'Activity budget  D'!I25+'Activity budget  D'!I30+'Activity budget  D'!I31+'Activity budget  D'!I33+'Activity budget  D'!I35+'Activity budget  D'!I36+'Activity budget  D'!I37+'Activity budget  D'!I43+'Activity budget  D'!I44+'Activity budget  D'!I46+'Activity budget  D'!I47+'Activity budget  D'!I51+'Activity budget  D'!I56+'Activity budget  D'!I57+'Activity budget  D'!I59+'Activity budget  D'!I60+'Activity budget  D'!I62+'Activity budget  D'!I63+'Activity budget  D'!I65+'Activity budget  D'!I66+'Activity budget  D'!I70+'Activity budget  D'!I89+'Activity budget  D'!I90+'Activity budget  D'!I102+'Activity budget  D'!I103+'Activity budget  D'!I110+'Activity budget  D'!I115+'Activity budget  D'!I116+'Activity budget  D'!I121+'Activity budget  D'!I122+'Activity budget  D'!I177+'Activity budget  D'!I178+'Activity budget  D'!I182+'Activity budget  D'!I203+'Activity budget  D'!I204+'Activity budget  D'!I247+'Activity budget  D'!I250+'Activity budget  D'!I251+'Activity budget  D'!I129+'Activity budget  D'!I304+'Activity budget  D'!I305+'Activity budget  D'!I124+'Activity budget  D'!I125+'Activity budget  D'!I244+'Activity budget  D'!I245+'Activity budget  D'!I247+'Activity budget  D'!I255+'Activity budget  D'!I105+'Activity budget  D'!I106+'Activity budget  D'!I92+'Activity budget  D'!I93+'Activity budget  D'!I97+'Activity budget  D'!I310+'Activity budget  D'!I311+'Activity budget  D'!J30+'Activity budget  D'!J31+'Activity budget  D'!J59+'Activity budget  D'!J203+'Activity budget  D'!J204+'Activity budget  D'!J304+'Activity budget  D'!J305</f>
        <v>177517</v>
      </c>
      <c r="F9" s="248"/>
      <c r="G9" s="489">
        <f>+'Activity budget  D'!G24+'Activity budget  D'!G25+'Activity budget  D'!G30+'Activity budget  D'!G31+'Activity budget  D'!G33+'Activity budget  D'!G35+'Activity budget  D'!G36+'Activity budget  D'!G37+'Activity budget  D'!G43+'Activity budget  D'!G44+'Activity budget  D'!G46+'Activity budget  D'!G47+'Activity budget  D'!G51+'Activity budget  D'!G56+'Activity budget  D'!G57+'Activity budget  D'!G59+'Activity budget  D'!G60+'Activity budget  D'!G62+'Activity budget  D'!G63+'Activity budget  D'!G65+'Activity budget  D'!G66+'Activity budget  D'!G70+'Activity budget  D'!G89+'Activity budget  D'!G90+'Activity budget  D'!G102+'Activity budget  D'!G103+'Activity budget  D'!G110+'Activity budget  D'!G115+'Activity budget  D'!G116+'Activity budget  D'!G121+'Activity budget  D'!G122+'Activity budget  D'!G177+'Activity budget  D'!G178+'Activity budget  D'!G182+'Activity budget  D'!G203+'Activity budget  D'!G204+'Activity budget  D'!G247+'Activity budget  D'!G250+'Activity budget  D'!G251+'Activity budget  D'!G129+'Activity budget  D'!G304+'Activity budget  D'!G305+'Activity budget  D'!G124+'Activity budget  D'!G125+'Activity budget  D'!G244+'Activity budget  D'!G245+'Activity budget  D'!G248+'Activity budget  D'!G255+'Activity budget  D'!G105+'Activity budget  D'!G106+'Activity budget  D'!G308</f>
        <v>154728.5</v>
      </c>
      <c r="H9" s="248"/>
      <c r="I9" s="489">
        <f>+'Activity budget  D'!D24+'Activity budget  D'!D25+'Activity budget  D'!D30+'Activity budget  D'!D31+'Activity budget  D'!D33+'Activity budget  D'!D35+'Activity budget  D'!D36+'Activity budget  D'!D37+'Activity budget  D'!D43+'Activity budget  D'!D44+'Activity budget  D'!D46+'Activity budget  D'!D47+'Activity budget  D'!D51+'Activity budget  D'!D56+'Activity budget  D'!D57+'Activity budget  D'!D59+'Activity budget  D'!D60+'Activity budget  D'!D62+'Activity budget  D'!D63+'Activity budget  D'!D65+'Activity budget  D'!D66+'Activity budget  D'!D70+'Activity budget  D'!D89+'Activity budget  D'!D90+'Activity budget  D'!D102+'Activity budget  D'!D103+'Activity budget  D'!D110+'Activity budget  D'!D115+'Activity budget  D'!D116+'Activity budget  D'!D121+'Activity budget  D'!D122+'Activity budget  D'!D177+'Activity budget  D'!D178+'Activity budget  D'!D182+'Activity budget  D'!D203+'Activity budget  D'!D204+'Activity budget  D'!D247+'Activity budget  D'!D250+'Activity budget  D'!D251+'Activity budget  D'!D129+'Activity budget  D'!D124+'Activity budget  D'!D125+'Activity budget  D'!D244+'Activity budget  D'!D245+'Activity budget  D'!D248+'Activity budget  D'!D255+'Activity budget  D'!D105+'Activity budget  D'!D106+'Activity budget  D'!D308+'Activity budget  D'!D304+'Activity budget  D'!D305</f>
        <v>178985</v>
      </c>
      <c r="J9" s="248"/>
      <c r="K9" s="279"/>
      <c r="L9" s="489">
        <f>+'Activity budget  D'!F24+'Activity budget  D'!F25+'Activity budget  D'!F30+'Activity budget  D'!F31+'Activity budget  D'!F33+'Activity budget  D'!F35+'Activity budget  D'!F36+'Activity budget  D'!F37+'Activity budget  D'!F43+'Activity budget  D'!F44+'Activity budget  D'!F46+'Activity budget  D'!F47+'Activity budget  D'!F51+'Activity budget  D'!F56+'Activity budget  D'!F57+'Activity budget  D'!F59+'Activity budget  D'!F60+'Activity budget  D'!F62+'Activity budget  D'!F63+'Activity budget  D'!F65+'Activity budget  D'!F66+'Activity budget  D'!F70+'Activity budget  D'!F89+'Activity budget  D'!F90+'Activity budget  D'!F102+'Activity budget  D'!F103+'Activity budget  D'!F110+'Activity budget  D'!F115+'Activity budget  D'!F116+'Activity budget  D'!F121+'Activity budget  D'!F122+'Activity budget  D'!F177+'Activity budget  D'!F178+'Activity budget  D'!F182+'Activity budget  D'!F203+'Activity budget  D'!F204+'Activity budget  D'!F247+'Activity budget  D'!F250+'Activity budget  D'!F251+'Activity budget  D'!F129+'Activity budget  D'!F304+'Activity budget  D'!F305+'Activity budget  D'!F124+'Activity budget  D'!F125+'Activity budget  D'!F244+'Activity budget  D'!F245+'Activity budget  D'!F248+'Activity budget  D'!F255+'Activity budget  D'!F105+'Activity budget  D'!F106+'Activity budget  D'!F308</f>
        <v>144585</v>
      </c>
      <c r="M9" s="438"/>
      <c r="N9" s="491" t="s">
        <v>379</v>
      </c>
      <c r="O9" s="492"/>
      <c r="P9" s="424"/>
      <c r="Q9" s="426">
        <f>+'Activity budget  D'!I5</f>
        <v>699475</v>
      </c>
      <c r="R9" s="424"/>
      <c r="S9" s="426">
        <f>+'Activity budget  D'!G5</f>
        <v>695154</v>
      </c>
      <c r="T9" s="424"/>
      <c r="U9" s="426">
        <f>+'Activity budget  D'!D5</f>
        <v>695350</v>
      </c>
      <c r="V9" s="444"/>
      <c r="W9" s="426">
        <f>+'Activity budget  D'!F5</f>
        <v>695350</v>
      </c>
    </row>
    <row r="10" spans="2:23" ht="13.5" thickBot="1" x14ac:dyDescent="0.25">
      <c r="B10" s="243"/>
      <c r="C10" s="414"/>
      <c r="D10" s="488"/>
      <c r="E10" s="490"/>
      <c r="F10" s="246"/>
      <c r="G10" s="490"/>
      <c r="H10" s="246"/>
      <c r="I10" s="490"/>
      <c r="J10" s="246"/>
      <c r="K10" s="280"/>
      <c r="L10" s="490"/>
      <c r="M10" s="438"/>
      <c r="N10" s="493"/>
      <c r="O10" s="492"/>
      <c r="P10" s="425"/>
      <c r="Q10" s="427"/>
      <c r="R10" s="425"/>
      <c r="S10" s="427"/>
      <c r="T10" s="425"/>
      <c r="U10" s="427"/>
      <c r="V10" s="445"/>
      <c r="W10" s="427"/>
    </row>
    <row r="11" spans="2:23" x14ac:dyDescent="0.2">
      <c r="B11" s="249"/>
      <c r="C11" s="463" t="s">
        <v>380</v>
      </c>
      <c r="D11" s="488"/>
      <c r="E11" s="489">
        <f>+'Activity budget  D'!I167+'Activity budget  D'!I168+'Activity budget  D'!I172+'Activity budget  D'!I213+'Activity budget  D'!I214+'Activity budget  D'!I224+'Activity budget  D'!I225+'Activity budget  D'!I227+'Activity budget  D'!I228+'Activity budget  D'!I231+'Activity budget  D'!I232+'Activity budget  D'!I220+'Activity budget  D'!I221+'Activity budget  D'!I234+'Activity budget  D'!I235+'Activity budget  D'!I208</f>
        <v>23146.39</v>
      </c>
      <c r="F11" s="248"/>
      <c r="G11" s="489">
        <f>+'Activity budget  D'!G167+'Activity budget  D'!G168+'Activity budget  D'!G172+'Activity budget  D'!G213+'Activity budget  D'!G214+'Activity budget  D'!G224+'Activity budget  D'!G225+'Activity budget  D'!G227+'Activity budget  D'!G228+'Activity budget  D'!G231+'Activity budget  D'!G232+'Activity budget  D'!G220+'Activity budget  D'!G221+'Activity budget  D'!G234+'Activity budget  D'!G235+'Activity budget  D'!G208</f>
        <v>20306</v>
      </c>
      <c r="H11" s="248"/>
      <c r="I11" s="489">
        <f>+'Activity budget  D'!D167+'Activity budget  D'!D168+'Activity budget  D'!D172+'Activity budget  D'!D213+'Activity budget  D'!D214+'Activity budget  D'!D224+'Activity budget  D'!D225+'Activity budget  D'!D227+'Activity budget  D'!D228+'Activity budget  D'!D231+'Activity budget  D'!D232+'Activity budget  D'!D220+'Activity budget  D'!D221+'Activity budget  D'!D234+'Activity budget  D'!D235+'Activity budget  D'!D208</f>
        <v>20984</v>
      </c>
      <c r="J11" s="248"/>
      <c r="K11" s="279"/>
      <c r="L11" s="489">
        <f>+'Activity budget  D'!F167+'Activity budget  D'!F168+'Activity budget  D'!F172+'Activity budget  D'!F213+'Activity budget  D'!F214+'Activity budget  D'!F224+'Activity budget  D'!F225+'Activity budget  D'!F227+'Activity budget  D'!F228+'Activity budget  D'!F231+'Activity budget  D'!F232+'Activity budget  D'!F220+'Activity budget  D'!F221+'Activity budget  D'!F234+'Activity budget  D'!F235+'Activity budget  D'!F208</f>
        <v>21966</v>
      </c>
      <c r="M11" s="438"/>
      <c r="N11" s="491" t="s">
        <v>381</v>
      </c>
      <c r="O11" s="492"/>
      <c r="P11" s="424"/>
      <c r="Q11" s="426">
        <f>+'Activity budget  D'!I6</f>
        <v>35210</v>
      </c>
      <c r="R11" s="424"/>
      <c r="S11" s="426">
        <f>+'Activity budget  D'!G6</f>
        <v>34993</v>
      </c>
      <c r="T11" s="424"/>
      <c r="U11" s="455">
        <f>+'Activity budget  D'!D6</f>
        <v>35000</v>
      </c>
      <c r="V11" s="444"/>
      <c r="W11" s="426">
        <f>+'Activity budget  D'!F6</f>
        <v>35000</v>
      </c>
    </row>
    <row r="12" spans="2:23" ht="13.5" thickBot="1" x14ac:dyDescent="0.25">
      <c r="B12" s="243"/>
      <c r="C12" s="414"/>
      <c r="D12" s="488"/>
      <c r="E12" s="490"/>
      <c r="F12" s="246"/>
      <c r="G12" s="490"/>
      <c r="H12" s="246"/>
      <c r="I12" s="490"/>
      <c r="J12" s="246"/>
      <c r="K12" s="280"/>
      <c r="L12" s="490"/>
      <c r="M12" s="438"/>
      <c r="N12" s="493"/>
      <c r="O12" s="492"/>
      <c r="P12" s="425"/>
      <c r="Q12" s="427"/>
      <c r="R12" s="425"/>
      <c r="S12" s="427"/>
      <c r="T12" s="425"/>
      <c r="U12" s="456"/>
      <c r="V12" s="445"/>
      <c r="W12" s="427"/>
    </row>
    <row r="13" spans="2:23" x14ac:dyDescent="0.2">
      <c r="B13" s="243"/>
      <c r="C13" s="463" t="s">
        <v>382</v>
      </c>
      <c r="D13" s="488"/>
      <c r="E13" s="489">
        <f>+'Activity budget  D'!I259+'Activity budget  D'!I260+'Activity budget  D'!I261+'Activity budget  D'!I262+'Activity budget  D'!I264+'Activity budget  D'!I265</f>
        <v>133423</v>
      </c>
      <c r="F13" s="248"/>
      <c r="G13" s="489">
        <f>+'Activity budget  D'!G259+'Activity budget  D'!G260+'Activity budget  D'!G261+'Activity budget  D'!G262+'Activity budget  D'!G264+'Activity budget  D'!G265</f>
        <v>132522</v>
      </c>
      <c r="H13" s="248"/>
      <c r="I13" s="489">
        <f>+'Activity budget  D'!D259+'Activity budget  D'!D260+'Activity budget  D'!D261+'Activity budget  D'!D262+'Activity budget  D'!D264+'Activity budget  D'!D265</f>
        <v>132250</v>
      </c>
      <c r="J13" s="248"/>
      <c r="K13" s="279"/>
      <c r="L13" s="489">
        <f>+'Activity budget  D'!F259+'Activity budget  D'!F260+'Activity budget  D'!F261+'Activity budget  D'!F262+'Activity budget  D'!F264+'Activity budget  D'!F265</f>
        <v>132522</v>
      </c>
      <c r="M13" s="438"/>
      <c r="N13" s="416" t="s">
        <v>383</v>
      </c>
      <c r="O13" s="461"/>
      <c r="P13" s="428">
        <f>+'Activity budget  D'!I9+'Activity budget  D'!I10</f>
        <v>740210</v>
      </c>
      <c r="Q13" s="430"/>
      <c r="R13" s="428">
        <f>+'Activity budget  D'!G9+'Activity budget  D'!G10</f>
        <v>740210</v>
      </c>
      <c r="S13" s="430"/>
      <c r="T13" s="453">
        <f>+'Activity budget  D'!D9+'Activity budget  D'!D10</f>
        <v>740210</v>
      </c>
      <c r="U13" s="455"/>
      <c r="V13" s="428">
        <f>+'Activity budget  D'!F9+'Activity budget  D'!F10</f>
        <v>740210</v>
      </c>
      <c r="W13" s="444"/>
    </row>
    <row r="14" spans="2:23" x14ac:dyDescent="0.2">
      <c r="B14" s="243"/>
      <c r="C14" s="414"/>
      <c r="D14" s="488"/>
      <c r="E14" s="490"/>
      <c r="F14" s="246"/>
      <c r="G14" s="490"/>
      <c r="H14" s="246"/>
      <c r="I14" s="490"/>
      <c r="J14" s="246"/>
      <c r="K14" s="280"/>
      <c r="L14" s="490"/>
      <c r="M14" s="438"/>
      <c r="N14" s="416"/>
      <c r="O14" s="461"/>
      <c r="P14" s="429"/>
      <c r="Q14" s="431"/>
      <c r="R14" s="429"/>
      <c r="S14" s="431"/>
      <c r="T14" s="454"/>
      <c r="U14" s="456"/>
      <c r="V14" s="429"/>
      <c r="W14" s="445"/>
    </row>
    <row r="15" spans="2:23" x14ac:dyDescent="0.2">
      <c r="B15" s="243"/>
      <c r="C15" s="429" t="s">
        <v>384</v>
      </c>
      <c r="D15" s="504"/>
      <c r="E15" s="446">
        <f>SUM(F15:F20)</f>
        <v>890272</v>
      </c>
      <c r="F15" s="309"/>
      <c r="G15" s="446">
        <f>SUM(H15:H20)</f>
        <v>874750</v>
      </c>
      <c r="H15" s="409"/>
      <c r="I15" s="446">
        <f>SUM(J15:J20)</f>
        <v>872291</v>
      </c>
      <c r="J15" s="309"/>
      <c r="K15" s="397"/>
      <c r="L15" s="397"/>
      <c r="M15" s="438"/>
      <c r="N15" s="507" t="s">
        <v>385</v>
      </c>
      <c r="O15" s="508"/>
      <c r="P15" s="415">
        <f>+'Activity budget  D'!I16+(-'Activity budget  D'!I355)</f>
        <v>16916</v>
      </c>
      <c r="Q15" s="247"/>
      <c r="R15" s="415">
        <f>+'Activity budget  D'!G16-'Activity budget  D'!G355</f>
        <v>16916</v>
      </c>
      <c r="S15" s="247"/>
      <c r="T15" s="415">
        <f>+'Activity budget  D'!D16-'Activity budget  D'!D355</f>
        <v>16916</v>
      </c>
      <c r="U15" s="247"/>
      <c r="V15" s="415">
        <f>+'Activity budget  D'!F16-'Activity budget  D'!F355</f>
        <v>16916</v>
      </c>
      <c r="W15" s="247"/>
    </row>
    <row r="16" spans="2:23" x14ac:dyDescent="0.2">
      <c r="B16" s="243"/>
      <c r="C16" s="511" t="s">
        <v>386</v>
      </c>
      <c r="D16" s="512"/>
      <c r="E16" s="505"/>
      <c r="F16" s="312">
        <f>+'Activity budget  D'!I27+'Activity budget  D'!I49+'Activity budget  D'!I68+'Activity budget  D'!I95+'Activity budget  D'!I108+'Activity budget  D'!I127+'Activity budget  D'!I143+'Activity budget  D'!I170+'Activity budget  D'!I180+'Activity budget  D'!I206+'Activity budget  D'!I237+'Activity budget  D'!I253+'Activity budget  D'!I263+'Activity budget  D'!I278+'Activity budget  D'!I286+'Activity budget  D'!I287+'Activity budget  D'!I306+'Activity budget  D'!I238+'Activity budget  D'!J286</f>
        <v>678915</v>
      </c>
      <c r="G16" s="513"/>
      <c r="H16" s="312">
        <f>+'Activity budget  D'!G27+'Activity budget  D'!G49+'Activity budget  D'!G68+'Activity budget  D'!G95+'Activity budget  D'!G108+'Activity budget  D'!G127+'Activity budget  D'!G143+'Activity budget  D'!G170+'Activity budget  D'!G180+'Activity budget  D'!G206+'Activity budget  D'!G237+'Activity budget  D'!G253+'Activity budget  D'!G263+'Activity budget  D'!G278+'Activity budget  D'!G286+'Activity budget  D'!G287+'Activity budget  D'!G306+'Activity budget  D'!G238</f>
        <v>665038</v>
      </c>
      <c r="I16" s="505"/>
      <c r="J16" s="312">
        <f>+'Activity budget  D'!D27+'Activity budget  D'!D49+'Activity budget  D'!D68+'Activity budget  D'!D95+'Activity budget  D'!D108+'Activity budget  D'!D127+'Activity budget  D'!D143+'Activity budget  D'!D170+'Activity budget  D'!D180+'Activity budget  D'!D206+'Activity budget  D'!D237+'Activity budget  D'!D253+'Activity budget  D'!D263+'Activity budget  D'!D278+'Activity budget  D'!D286+'Activity budget  D'!D287+'Activity budget  D'!D306+'Activity budget  D'!D238</f>
        <v>679561</v>
      </c>
      <c r="K16" s="398"/>
      <c r="L16" s="411">
        <f>+'Activity budget  D'!F27+'Activity budget  D'!F49+'Activity budget  D'!F68+'Activity budget  D'!F95+'Activity budget  D'!F108+'Activity budget  D'!F127+'Activity budget  D'!F143+'Activity budget  D'!F170+'Activity budget  D'!F180+'Activity budget  D'!F206+'Activity budget  D'!F237+'Activity budget  D'!F253+'Activity budget  D'!F263+'Activity budget  D'!F278+'Activity budget  D'!F286+'Activity budget  D'!F287+'Activity budget  D'!F306+'Activity budget  D'!F238</f>
        <v>696600</v>
      </c>
      <c r="M16" s="438"/>
      <c r="N16" s="509"/>
      <c r="O16" s="510"/>
      <c r="P16" s="415"/>
      <c r="Q16" s="247"/>
      <c r="R16" s="415"/>
      <c r="S16" s="247"/>
      <c r="T16" s="415"/>
      <c r="U16" s="247"/>
      <c r="V16" s="415"/>
      <c r="W16" s="247"/>
    </row>
    <row r="17" spans="3:24" x14ac:dyDescent="0.2">
      <c r="C17" s="511" t="s">
        <v>387</v>
      </c>
      <c r="D17" s="512"/>
      <c r="E17" s="505"/>
      <c r="F17" s="312">
        <f>+'Activity budget  D'!I289</f>
        <v>146941</v>
      </c>
      <c r="G17" s="513"/>
      <c r="H17" s="312">
        <f>+'Activity budget  D'!G289</f>
        <v>147800</v>
      </c>
      <c r="I17" s="505"/>
      <c r="J17" s="312">
        <f>+'Activity budget  D'!D289</f>
        <v>146000</v>
      </c>
      <c r="K17" s="398"/>
      <c r="L17" s="411">
        <f>+'Activity budget  D'!F289</f>
        <v>148400</v>
      </c>
      <c r="M17" s="438"/>
      <c r="N17" s="509"/>
      <c r="O17" s="510"/>
      <c r="P17" s="415"/>
      <c r="Q17" s="247"/>
      <c r="R17" s="415"/>
      <c r="S17" s="247"/>
      <c r="T17" s="415"/>
      <c r="U17" s="247"/>
      <c r="V17" s="415"/>
      <c r="W17" s="247"/>
    </row>
    <row r="18" spans="3:24" x14ac:dyDescent="0.2">
      <c r="C18" s="511" t="s">
        <v>388</v>
      </c>
      <c r="D18" s="512"/>
      <c r="E18" s="505"/>
      <c r="F18" s="312">
        <f>+'Activity budget  D'!I288</f>
        <v>4430</v>
      </c>
      <c r="G18" s="513"/>
      <c r="H18" s="312">
        <f>+'Activity budget  D'!G288</f>
        <v>5000</v>
      </c>
      <c r="I18" s="505"/>
      <c r="J18" s="312">
        <f>+'Activity budget  D'!D288</f>
        <v>10000</v>
      </c>
      <c r="K18" s="398"/>
      <c r="L18" s="411">
        <f>+'Activity budget  D'!F288</f>
        <v>3946</v>
      </c>
      <c r="M18" s="438"/>
      <c r="N18" s="509"/>
      <c r="O18" s="510"/>
      <c r="P18" s="415"/>
      <c r="Q18" s="247"/>
      <c r="R18" s="415"/>
      <c r="S18" s="247"/>
      <c r="T18" s="415"/>
      <c r="U18" s="247"/>
      <c r="V18" s="415"/>
      <c r="W18" s="247"/>
    </row>
    <row r="19" spans="3:24" x14ac:dyDescent="0.2">
      <c r="C19" s="511" t="s">
        <v>389</v>
      </c>
      <c r="D19" s="512"/>
      <c r="E19" s="505"/>
      <c r="F19" s="312">
        <f>+'Activity budget  D'!I50+'Activity budget  D'!I69+'Activity budget  D'!I96+'Activity budget  D'!I109+'Activity budget  D'!I128+'Activity budget  D'!I144+'Activity budget  D'!I171+'Activity budget  D'!I181+'Activity budget  D'!I215+'Activity budget  D'!I222+'Activity budget  D'!I229+'Activity budget  D'!I293+'Activity budget  D'!I307+'Activity budget  D'!I28+'Activity budget  D'!I254+'Activity budget  D'!J293</f>
        <v>57993</v>
      </c>
      <c r="G19" s="513"/>
      <c r="H19" s="312">
        <f>+'Activity budget  D'!G50+'Activity budget  D'!G69+'Activity budget  D'!G96+'Activity budget  D'!G109+'Activity budget  D'!G128+'Activity budget  D'!G144+'Activity budget  D'!G171+'Activity budget  D'!G181+'Activity budget  D'!G215+'Activity budget  D'!G222+'Activity budget  D'!G229+'Activity budget  D'!G293+'Activity budget  D'!G307+'Activity budget  D'!G28+'Activity budget  D'!G254</f>
        <v>53712</v>
      </c>
      <c r="I19" s="505"/>
      <c r="J19" s="312">
        <f>+'Activity budget  D'!D50+'Activity budget  D'!D69+'Activity budget  D'!D96+'Activity budget  D'!D109+'Activity budget  D'!D128+'Activity budget  D'!D144+'Activity budget  D'!D171+'Activity budget  D'!D181+'Activity budget  D'!D215+'Activity budget  D'!D222+'Activity budget  D'!D229+'Activity budget  D'!D293+'Activity budget  D'!D307+'Activity budget  D'!D28+'Activity budget  D'!D254</f>
        <v>34730</v>
      </c>
      <c r="K19" s="398"/>
      <c r="L19" s="411">
        <f>+'Activity budget  D'!F50+'Activity budget  D'!F69+'Activity budget  D'!F96+'Activity budget  D'!F109+'Activity budget  D'!F128+'Activity budget  D'!F144+'Activity budget  D'!F171+'Activity budget  D'!F181+'Activity budget  D'!F215+'Activity budget  D'!F222+'Activity budget  D'!F229+'Activity budget  D'!F293+'Activity budget  D'!F307+'Activity budget  D'!F28+'Activity budget  D'!F254</f>
        <v>48870</v>
      </c>
      <c r="M19" s="438"/>
      <c r="N19" s="509"/>
      <c r="O19" s="510"/>
      <c r="P19" s="415"/>
      <c r="Q19" s="247"/>
      <c r="R19" s="415"/>
      <c r="S19" s="247"/>
      <c r="T19" s="415"/>
      <c r="U19" s="247"/>
      <c r="V19" s="415"/>
      <c r="W19" s="247"/>
    </row>
    <row r="20" spans="3:24" x14ac:dyDescent="0.2">
      <c r="C20" s="511" t="s">
        <v>390</v>
      </c>
      <c r="D20" s="512"/>
      <c r="E20" s="506"/>
      <c r="F20" s="312">
        <f>+'Activity budget  D'!I290+'Activity budget  D'!I291</f>
        <v>1993</v>
      </c>
      <c r="G20" s="514"/>
      <c r="H20" s="312">
        <f>+'Activity budget  D'!G290+'Activity budget  D'!G291</f>
        <v>3200</v>
      </c>
      <c r="I20" s="506"/>
      <c r="J20" s="312">
        <f>+'Activity budget  D'!D290+'Activity budget  D'!D291</f>
        <v>2000</v>
      </c>
      <c r="K20" s="399"/>
      <c r="L20" s="411">
        <f>+'Activity budget  D'!F290+'Activity budget  D'!F291</f>
        <v>4150</v>
      </c>
      <c r="M20" s="438"/>
      <c r="N20" s="502"/>
      <c r="O20" s="503"/>
      <c r="P20" s="432"/>
      <c r="Q20" s="247"/>
      <c r="R20" s="432"/>
      <c r="S20" s="247"/>
      <c r="T20" s="432"/>
      <c r="U20" s="247"/>
      <c r="V20" s="432"/>
      <c r="W20" s="247"/>
    </row>
    <row r="21" spans="3:24" x14ac:dyDescent="0.2">
      <c r="C21" s="463" t="s">
        <v>391</v>
      </c>
      <c r="D21" s="488"/>
      <c r="E21" s="446">
        <f>'Activity budget  D'!I269+'Activity budget  D'!I270+'Activity budget  D'!I271+'Activity budget  D'!I279+'Activity budget  D'!I276+'Activity budget  D'!I277</f>
        <v>29975</v>
      </c>
      <c r="F21" s="248"/>
      <c r="G21" s="446">
        <f>'Activity budget  D'!G269+'Activity budget  D'!G270+'Activity budget  D'!G271+'Activity budget  D'!G279+'Activity budget  D'!G276+'Activity budget  D'!G277</f>
        <v>32000</v>
      </c>
      <c r="H21" s="248"/>
      <c r="I21" s="417">
        <f>'Activity budget  D'!D269+'Activity budget  D'!D270+'Activity budget  D'!D271+'Activity budget  D'!D279+'Activity budget  D'!D276+'Activity budget  D'!D277</f>
        <v>43066</v>
      </c>
      <c r="J21" s="248"/>
      <c r="K21" s="279"/>
      <c r="L21" s="446">
        <f>'Activity budget  D'!F269+'Activity budget  D'!F270+'Activity budget  D'!F271+'Activity budget  D'!F279+'Activity budget  D'!F276+'Activity budget  D'!F277</f>
        <v>29975</v>
      </c>
      <c r="M21" s="438"/>
      <c r="N21" s="463"/>
      <c r="O21" s="431"/>
      <c r="P21" s="414"/>
      <c r="Q21" s="250"/>
      <c r="R21" s="414"/>
      <c r="S21" s="250"/>
      <c r="T21" s="414"/>
      <c r="U21" s="250"/>
      <c r="V21" s="414"/>
      <c r="W21" s="250"/>
    </row>
    <row r="22" spans="3:24" x14ac:dyDescent="0.2">
      <c r="C22" s="414"/>
      <c r="D22" s="488"/>
      <c r="E22" s="447"/>
      <c r="F22" s="246"/>
      <c r="G22" s="447"/>
      <c r="H22" s="246"/>
      <c r="I22" s="418"/>
      <c r="J22" s="246"/>
      <c r="K22" s="280"/>
      <c r="L22" s="447"/>
      <c r="M22" s="438"/>
      <c r="N22" s="414"/>
      <c r="O22" s="431"/>
      <c r="P22" s="414"/>
      <c r="Q22" s="250"/>
      <c r="R22" s="414"/>
      <c r="S22" s="250"/>
      <c r="T22" s="414"/>
      <c r="U22" s="250"/>
      <c r="V22" s="414"/>
      <c r="W22" s="250"/>
    </row>
    <row r="23" spans="3:24" x14ac:dyDescent="0.2">
      <c r="C23" s="463" t="s">
        <v>392</v>
      </c>
      <c r="D23" s="488"/>
      <c r="E23" s="446">
        <f>+'Activity budget  D'!I300</f>
        <v>41885</v>
      </c>
      <c r="F23" s="248"/>
      <c r="G23" s="446">
        <f>+'Activity budget  D'!G300</f>
        <v>48500</v>
      </c>
      <c r="H23" s="248"/>
      <c r="I23" s="417">
        <f>+'Activity budget  D'!D300</f>
        <v>50000</v>
      </c>
      <c r="J23" s="248"/>
      <c r="K23" s="279"/>
      <c r="L23" s="446">
        <f>+'Activity budget  D'!F300</f>
        <v>47500</v>
      </c>
      <c r="M23" s="438"/>
      <c r="N23" s="463"/>
      <c r="O23" s="431"/>
      <c r="P23" s="414"/>
      <c r="Q23" s="250"/>
      <c r="R23" s="414"/>
      <c r="S23" s="250"/>
      <c r="T23" s="414"/>
      <c r="U23" s="250"/>
      <c r="V23" s="414"/>
      <c r="W23" s="250"/>
    </row>
    <row r="24" spans="3:24" x14ac:dyDescent="0.2">
      <c r="C24" s="414"/>
      <c r="D24" s="488"/>
      <c r="E24" s="447"/>
      <c r="F24" s="246"/>
      <c r="G24" s="447"/>
      <c r="H24" s="246"/>
      <c r="I24" s="418"/>
      <c r="J24" s="246"/>
      <c r="K24" s="280"/>
      <c r="L24" s="447"/>
      <c r="M24" s="438"/>
      <c r="N24" s="414"/>
      <c r="O24" s="431"/>
      <c r="P24" s="414"/>
      <c r="Q24" s="250"/>
      <c r="R24" s="414"/>
      <c r="S24" s="250"/>
      <c r="T24" s="414"/>
      <c r="U24" s="250"/>
      <c r="V24" s="414"/>
      <c r="W24" s="250"/>
    </row>
    <row r="25" spans="3:24" x14ac:dyDescent="0.2">
      <c r="C25" s="416" t="s">
        <v>19</v>
      </c>
      <c r="D25" s="486"/>
      <c r="E25" s="421">
        <f>SUM(E7:E24)</f>
        <v>1440129.3900000001</v>
      </c>
      <c r="F25" s="313"/>
      <c r="G25" s="421">
        <f>SUM(G7:G24)</f>
        <v>1437198.5</v>
      </c>
      <c r="H25" s="313"/>
      <c r="I25" s="419">
        <f>SUM(I7:I24)</f>
        <v>1422076</v>
      </c>
      <c r="J25" s="313"/>
      <c r="K25" s="281"/>
      <c r="L25" s="421">
        <f>SUM(L7:L24)</f>
        <v>1440477</v>
      </c>
      <c r="M25" s="438"/>
      <c r="N25" s="416" t="s">
        <v>2</v>
      </c>
      <c r="O25" s="461"/>
      <c r="P25" s="415">
        <f>+P7+P13+P15</f>
        <v>1491811</v>
      </c>
      <c r="Q25" s="250"/>
      <c r="R25" s="415">
        <f>+R7+R13+R15</f>
        <v>1487273</v>
      </c>
      <c r="S25" s="250"/>
      <c r="T25" s="415">
        <f>+T7+T13+T15</f>
        <v>1487476</v>
      </c>
      <c r="U25" s="250"/>
      <c r="V25" s="415">
        <f>+V7+V13+V15</f>
        <v>1487476</v>
      </c>
      <c r="W25" s="250"/>
      <c r="X25" s="255"/>
    </row>
    <row r="26" spans="3:24" ht="13.5" thickBot="1" x14ac:dyDescent="0.25">
      <c r="C26" s="432"/>
      <c r="D26" s="487"/>
      <c r="E26" s="422"/>
      <c r="F26" s="313"/>
      <c r="G26" s="422"/>
      <c r="H26" s="313"/>
      <c r="I26" s="420"/>
      <c r="J26" s="313"/>
      <c r="K26" s="281"/>
      <c r="L26" s="422"/>
      <c r="M26" s="438"/>
      <c r="N26" s="433"/>
      <c r="O26" s="462"/>
      <c r="P26" s="416"/>
      <c r="Q26" s="250"/>
      <c r="R26" s="416"/>
      <c r="S26" s="250"/>
      <c r="T26" s="416"/>
      <c r="U26" s="250"/>
      <c r="V26" s="416"/>
      <c r="W26" s="250"/>
      <c r="X26" s="2"/>
    </row>
    <row r="27" spans="3:24" s="372" customFormat="1" x14ac:dyDescent="0.2">
      <c r="C27" s="479" t="s">
        <v>408</v>
      </c>
      <c r="D27" s="480"/>
      <c r="E27" s="448">
        <f>+P25-E25</f>
        <v>51681.60999999987</v>
      </c>
      <c r="F27" s="373"/>
      <c r="G27" s="448">
        <f>+R25-G25</f>
        <v>50074.5</v>
      </c>
      <c r="H27" s="373"/>
      <c r="I27" s="483">
        <f>+T25-I25</f>
        <v>65400</v>
      </c>
      <c r="J27" s="373"/>
      <c r="K27" s="400"/>
      <c r="L27" s="448">
        <f>+V25-L25</f>
        <v>46999</v>
      </c>
      <c r="M27" s="438"/>
      <c r="N27" s="416"/>
      <c r="O27" s="461"/>
      <c r="P27" s="415"/>
      <c r="Q27" s="250"/>
      <c r="R27" s="415"/>
      <c r="S27" s="250"/>
      <c r="T27" s="415"/>
      <c r="U27" s="250"/>
      <c r="V27" s="415"/>
      <c r="W27" s="250"/>
      <c r="X27" s="2"/>
    </row>
    <row r="28" spans="3:24" s="372" customFormat="1" ht="13.5" thickBot="1" x14ac:dyDescent="0.25">
      <c r="C28" s="481"/>
      <c r="D28" s="482"/>
      <c r="E28" s="449"/>
      <c r="F28" s="374"/>
      <c r="G28" s="449"/>
      <c r="H28" s="374"/>
      <c r="I28" s="484"/>
      <c r="J28" s="374"/>
      <c r="K28" s="401"/>
      <c r="L28" s="449"/>
      <c r="M28" s="438"/>
      <c r="N28" s="416"/>
      <c r="O28" s="461"/>
      <c r="P28" s="416"/>
      <c r="Q28" s="250"/>
      <c r="R28" s="416"/>
      <c r="S28" s="250"/>
      <c r="T28" s="416"/>
      <c r="U28" s="250"/>
      <c r="V28" s="416"/>
      <c r="W28" s="250"/>
      <c r="X28" s="2"/>
    </row>
    <row r="29" spans="3:24" x14ac:dyDescent="0.2">
      <c r="C29" s="477" t="s">
        <v>393</v>
      </c>
      <c r="D29" s="478"/>
      <c r="E29" s="467">
        <f>+'Activity budget  D'!I351</f>
        <v>35210</v>
      </c>
      <c r="F29" s="248"/>
      <c r="G29" s="467">
        <f>+'Activity budget  D'!G351</f>
        <v>34993</v>
      </c>
      <c r="H29" s="248"/>
      <c r="I29" s="485">
        <f>+'Activity budget  D'!D351</f>
        <v>35000</v>
      </c>
      <c r="J29" s="248"/>
      <c r="K29" s="279"/>
      <c r="L29" s="467">
        <f>+'Activity budget  D'!F351</f>
        <v>35000</v>
      </c>
      <c r="M29" s="438"/>
      <c r="N29" s="416"/>
      <c r="O29" s="461"/>
      <c r="P29" s="415"/>
      <c r="Q29" s="250"/>
      <c r="R29" s="415"/>
      <c r="S29" s="250"/>
      <c r="T29" s="415"/>
      <c r="U29" s="250"/>
      <c r="V29" s="415"/>
      <c r="W29" s="250"/>
      <c r="X29" s="255"/>
    </row>
    <row r="30" spans="3:24" x14ac:dyDescent="0.2">
      <c r="C30" s="463"/>
      <c r="D30" s="464"/>
      <c r="E30" s="447"/>
      <c r="F30" s="246"/>
      <c r="G30" s="447"/>
      <c r="H30" s="246"/>
      <c r="I30" s="418"/>
      <c r="J30" s="246"/>
      <c r="K30" s="280"/>
      <c r="L30" s="447"/>
      <c r="M30" s="438"/>
      <c r="N30" s="416"/>
      <c r="O30" s="461"/>
      <c r="P30" s="416"/>
      <c r="Q30" s="250"/>
      <c r="R30" s="416"/>
      <c r="S30" s="250"/>
      <c r="T30" s="416"/>
      <c r="U30" s="250"/>
      <c r="V30" s="416"/>
      <c r="W30" s="250"/>
    </row>
    <row r="31" spans="3:24" x14ac:dyDescent="0.2">
      <c r="C31" s="463" t="s">
        <v>394</v>
      </c>
      <c r="D31" s="464"/>
      <c r="E31" s="446"/>
      <c r="F31" s="248"/>
      <c r="G31" s="446">
        <f>'Activity budget  D'!G356</f>
        <v>0</v>
      </c>
      <c r="H31" s="248"/>
      <c r="I31" s="417">
        <f>'Activity budget  D'!D356</f>
        <v>20400</v>
      </c>
      <c r="J31" s="248"/>
      <c r="K31" s="279"/>
      <c r="L31" s="446">
        <f>'Activity budget  D'!F356</f>
        <v>0</v>
      </c>
      <c r="M31" s="438"/>
      <c r="N31" s="416"/>
      <c r="O31" s="461"/>
      <c r="P31" s="415"/>
      <c r="Q31" s="250"/>
      <c r="R31" s="415"/>
      <c r="S31" s="250"/>
      <c r="T31" s="415"/>
      <c r="U31" s="250"/>
      <c r="V31" s="415"/>
      <c r="W31" s="250"/>
    </row>
    <row r="32" spans="3:24" x14ac:dyDescent="0.2">
      <c r="C32" s="463"/>
      <c r="D32" s="464"/>
      <c r="E32" s="467"/>
      <c r="F32" s="246"/>
      <c r="G32" s="467"/>
      <c r="H32" s="246"/>
      <c r="I32" s="418"/>
      <c r="J32" s="246"/>
      <c r="K32" s="280"/>
      <c r="L32" s="467"/>
      <c r="M32" s="438"/>
      <c r="N32" s="416"/>
      <c r="O32" s="461"/>
      <c r="P32" s="416"/>
      <c r="Q32" s="250"/>
      <c r="R32" s="416"/>
      <c r="S32" s="250"/>
      <c r="T32" s="416"/>
      <c r="U32" s="250"/>
      <c r="V32" s="416"/>
      <c r="W32" s="250"/>
    </row>
    <row r="33" spans="3:23" x14ac:dyDescent="0.2">
      <c r="C33" s="463" t="s">
        <v>64</v>
      </c>
      <c r="D33" s="464"/>
      <c r="E33" s="467">
        <f>+'Activity budget  D'!I358</f>
        <v>15000</v>
      </c>
      <c r="F33" s="248"/>
      <c r="G33" s="467">
        <f>+'Activity budget  D'!G358</f>
        <v>15000</v>
      </c>
      <c r="H33" s="248"/>
      <c r="I33" s="468">
        <f>+'Activity budget  D'!D358</f>
        <v>10000</v>
      </c>
      <c r="J33" s="248"/>
      <c r="K33" s="279"/>
      <c r="L33" s="467">
        <f>+'Activity budget  D'!F358</f>
        <v>10000</v>
      </c>
      <c r="M33" s="438"/>
      <c r="N33" s="416"/>
      <c r="O33" s="461"/>
      <c r="P33" s="415"/>
      <c r="Q33" s="250"/>
      <c r="R33" s="415"/>
      <c r="S33" s="250"/>
      <c r="T33" s="415"/>
      <c r="U33" s="250"/>
      <c r="V33" s="415"/>
      <c r="W33" s="250"/>
    </row>
    <row r="34" spans="3:23" ht="13.5" thickBot="1" x14ac:dyDescent="0.25">
      <c r="C34" s="465"/>
      <c r="D34" s="466"/>
      <c r="E34" s="467"/>
      <c r="F34" s="246"/>
      <c r="G34" s="467"/>
      <c r="H34" s="246"/>
      <c r="I34" s="417"/>
      <c r="J34" s="246"/>
      <c r="K34" s="280"/>
      <c r="L34" s="467"/>
      <c r="M34" s="438"/>
      <c r="N34" s="416"/>
      <c r="O34" s="461"/>
      <c r="P34" s="416"/>
      <c r="Q34" s="250"/>
      <c r="R34" s="416"/>
      <c r="S34" s="250"/>
      <c r="T34" s="416"/>
      <c r="U34" s="250"/>
      <c r="V34" s="433"/>
      <c r="W34" s="251"/>
    </row>
    <row r="35" spans="3:23" x14ac:dyDescent="0.2">
      <c r="C35" s="469" t="s">
        <v>406</v>
      </c>
      <c r="D35" s="470"/>
      <c r="E35" s="475">
        <f>+E27-E29-E33</f>
        <v>1471.6099999998696</v>
      </c>
      <c r="F35" s="375"/>
      <c r="G35" s="475">
        <f>+G27-G29-G31-G33</f>
        <v>81.5</v>
      </c>
      <c r="H35" s="376"/>
      <c r="I35" s="475">
        <f>+I27-I29-I31-I33</f>
        <v>0</v>
      </c>
      <c r="J35" s="376"/>
      <c r="K35" s="375"/>
      <c r="L35" s="475">
        <f>+L27-L29-L31-L33</f>
        <v>1999</v>
      </c>
      <c r="M35" s="438"/>
      <c r="N35" s="416" t="s">
        <v>2</v>
      </c>
      <c r="O35" s="461"/>
      <c r="P35" s="436">
        <f>+P25</f>
        <v>1491811</v>
      </c>
      <c r="Q35" s="252"/>
      <c r="R35" s="436">
        <f>+R25</f>
        <v>1487273</v>
      </c>
      <c r="S35" s="252"/>
      <c r="T35" s="436">
        <f>+T25</f>
        <v>1487476</v>
      </c>
      <c r="U35" s="252"/>
      <c r="V35" s="434">
        <f>+V25</f>
        <v>1487476</v>
      </c>
      <c r="W35" s="252"/>
    </row>
    <row r="36" spans="3:23" ht="13.5" thickBot="1" x14ac:dyDescent="0.25">
      <c r="C36" s="471"/>
      <c r="D36" s="472"/>
      <c r="E36" s="476"/>
      <c r="F36" s="310"/>
      <c r="G36" s="476"/>
      <c r="H36" s="311"/>
      <c r="I36" s="476"/>
      <c r="J36" s="311"/>
      <c r="K36" s="310"/>
      <c r="L36" s="476"/>
      <c r="M36" s="439"/>
      <c r="N36" s="433"/>
      <c r="O36" s="462"/>
      <c r="P36" s="435"/>
      <c r="Q36" s="253"/>
      <c r="R36" s="435"/>
      <c r="S36" s="253"/>
      <c r="T36" s="435"/>
      <c r="U36" s="253"/>
      <c r="V36" s="435"/>
      <c r="W36" s="253"/>
    </row>
    <row r="37" spans="3:23" x14ac:dyDescent="0.2">
      <c r="N37" s="473"/>
      <c r="O37" s="474"/>
      <c r="P37" s="473"/>
      <c r="Q37" s="474"/>
      <c r="R37" s="380"/>
      <c r="S37" s="380"/>
      <c r="T37" s="473"/>
      <c r="U37" s="474"/>
    </row>
    <row r="38" spans="3:23" x14ac:dyDescent="0.2">
      <c r="C38" s="243" t="s">
        <v>409</v>
      </c>
      <c r="D38" s="243"/>
      <c r="E38" s="249">
        <f>+E13+E15+E21+E23</f>
        <v>1095555</v>
      </c>
      <c r="F38" s="249"/>
      <c r="G38" s="249"/>
      <c r="H38" s="249"/>
      <c r="I38" s="249"/>
      <c r="J38" s="249"/>
      <c r="K38" s="249"/>
      <c r="L38" s="249"/>
      <c r="M38" s="249"/>
      <c r="N38" s="474"/>
      <c r="O38" s="474"/>
      <c r="P38" s="474"/>
      <c r="Q38" s="474"/>
      <c r="R38" s="380"/>
      <c r="S38" s="380"/>
      <c r="T38" s="474"/>
      <c r="U38" s="474"/>
    </row>
    <row r="39" spans="3:23" x14ac:dyDescent="0.2">
      <c r="C39" s="243"/>
      <c r="D39" s="243"/>
      <c r="E39" s="249"/>
      <c r="F39" s="243"/>
      <c r="G39" s="243"/>
      <c r="H39" s="243"/>
      <c r="I39" s="243"/>
      <c r="J39" s="243"/>
      <c r="K39" s="243"/>
      <c r="L39" s="243"/>
      <c r="M39" s="243"/>
    </row>
    <row r="40" spans="3:23" x14ac:dyDescent="0.2">
      <c r="C40" s="243"/>
      <c r="D40" s="243"/>
      <c r="E40" s="249"/>
      <c r="F40" s="243"/>
      <c r="G40" s="243"/>
      <c r="H40" s="243"/>
      <c r="I40" s="243"/>
      <c r="J40" s="243"/>
      <c r="K40" s="243"/>
      <c r="L40" s="243"/>
      <c r="M40" s="243"/>
      <c r="N40" s="243"/>
      <c r="O40" s="243"/>
      <c r="P40" s="243"/>
      <c r="Q40" s="243"/>
      <c r="R40" s="243"/>
      <c r="S40" s="243"/>
      <c r="T40" s="243"/>
      <c r="U40" s="243"/>
    </row>
    <row r="41" spans="3:23" x14ac:dyDescent="0.2"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43"/>
      <c r="T41" s="243"/>
      <c r="U41" s="243"/>
    </row>
    <row r="42" spans="3:23" x14ac:dyDescent="0.2">
      <c r="N42" s="243"/>
      <c r="O42" s="243"/>
      <c r="P42" s="243"/>
      <c r="Q42" s="243"/>
      <c r="R42" s="243"/>
      <c r="S42" s="243"/>
      <c r="T42" s="243"/>
      <c r="U42" s="243"/>
    </row>
    <row r="43" spans="3:23" x14ac:dyDescent="0.2">
      <c r="N43" s="243"/>
      <c r="O43" s="243"/>
      <c r="P43" s="243"/>
      <c r="Q43" s="243"/>
      <c r="R43" s="243"/>
      <c r="S43" s="243"/>
      <c r="T43" s="243"/>
      <c r="U43" s="243"/>
    </row>
    <row r="44" spans="3:23" x14ac:dyDescent="0.2">
      <c r="C44" s="243"/>
      <c r="D44" s="243"/>
      <c r="E44" s="459"/>
      <c r="F44" s="243"/>
      <c r="G44" s="243"/>
      <c r="H44" s="243"/>
      <c r="I44" s="243"/>
      <c r="J44" s="243"/>
      <c r="K44" s="243"/>
      <c r="L44" s="243"/>
      <c r="M44" s="243"/>
    </row>
    <row r="45" spans="3:23" x14ac:dyDescent="0.2">
      <c r="C45" s="243"/>
      <c r="D45" s="243"/>
      <c r="E45" s="459"/>
      <c r="F45" s="243"/>
      <c r="G45" s="243"/>
      <c r="H45" s="243"/>
      <c r="I45" s="243"/>
      <c r="J45" s="243"/>
      <c r="K45" s="243"/>
      <c r="L45" s="243"/>
      <c r="M45" s="243"/>
    </row>
    <row r="46" spans="3:23" x14ac:dyDescent="0.2">
      <c r="C46" s="243"/>
      <c r="D46" s="243"/>
      <c r="E46" s="460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</row>
    <row r="47" spans="3:23" x14ac:dyDescent="0.2">
      <c r="C47" s="243"/>
      <c r="D47" s="243"/>
      <c r="E47" s="460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3"/>
    </row>
    <row r="48" spans="3:23" x14ac:dyDescent="0.2">
      <c r="C48" s="243"/>
      <c r="D48" s="243"/>
      <c r="E48" s="254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3"/>
      <c r="R48" s="243"/>
      <c r="S48" s="243"/>
      <c r="T48" s="243"/>
      <c r="U48" s="243"/>
    </row>
    <row r="49" spans="14:21" x14ac:dyDescent="0.2">
      <c r="N49" s="243"/>
      <c r="O49" s="243"/>
      <c r="P49" s="243"/>
      <c r="Q49" s="243"/>
      <c r="R49" s="243"/>
      <c r="S49" s="243"/>
      <c r="T49" s="243"/>
      <c r="U49" s="243"/>
    </row>
    <row r="50" spans="14:21" x14ac:dyDescent="0.2">
      <c r="N50" s="243"/>
      <c r="O50" s="243"/>
      <c r="P50" s="243"/>
      <c r="Q50" s="243"/>
      <c r="R50" s="243"/>
      <c r="S50" s="243"/>
      <c r="T50" s="243"/>
      <c r="U50" s="243"/>
    </row>
  </sheetData>
  <mergeCells count="165">
    <mergeCell ref="C15:D15"/>
    <mergeCell ref="E15:E20"/>
    <mergeCell ref="N15:O20"/>
    <mergeCell ref="P15:P20"/>
    <mergeCell ref="C16:D16"/>
    <mergeCell ref="C17:D17"/>
    <mergeCell ref="C13:D14"/>
    <mergeCell ref="E13:E14"/>
    <mergeCell ref="N13:O14"/>
    <mergeCell ref="C18:D18"/>
    <mergeCell ref="C19:D19"/>
    <mergeCell ref="C20:D20"/>
    <mergeCell ref="I13:I14"/>
    <mergeCell ref="I15:I20"/>
    <mergeCell ref="L13:L14"/>
    <mergeCell ref="P13:P14"/>
    <mergeCell ref="G13:G14"/>
    <mergeCell ref="G15:G20"/>
    <mergeCell ref="C5:D6"/>
    <mergeCell ref="E5:F6"/>
    <mergeCell ref="N5:O6"/>
    <mergeCell ref="I7:I8"/>
    <mergeCell ref="I5:J6"/>
    <mergeCell ref="L7:L8"/>
    <mergeCell ref="K5:L6"/>
    <mergeCell ref="G5:H6"/>
    <mergeCell ref="G7:G8"/>
    <mergeCell ref="C7:D8"/>
    <mergeCell ref="E7:E8"/>
    <mergeCell ref="N7:O8"/>
    <mergeCell ref="C9:D10"/>
    <mergeCell ref="E9:E10"/>
    <mergeCell ref="N9:O10"/>
    <mergeCell ref="P9:P10"/>
    <mergeCell ref="I9:I10"/>
    <mergeCell ref="I11:I12"/>
    <mergeCell ref="L9:L10"/>
    <mergeCell ref="L11:L12"/>
    <mergeCell ref="G9:G10"/>
    <mergeCell ref="G11:G12"/>
    <mergeCell ref="C11:D12"/>
    <mergeCell ref="E11:E12"/>
    <mergeCell ref="N11:O12"/>
    <mergeCell ref="P11:P12"/>
    <mergeCell ref="C25:D26"/>
    <mergeCell ref="E25:E26"/>
    <mergeCell ref="N25:O26"/>
    <mergeCell ref="C21:D22"/>
    <mergeCell ref="C23:D24"/>
    <mergeCell ref="P25:P26"/>
    <mergeCell ref="L21:L22"/>
    <mergeCell ref="E21:E22"/>
    <mergeCell ref="N21:O22"/>
    <mergeCell ref="P21:P22"/>
    <mergeCell ref="E23:E24"/>
    <mergeCell ref="G21:G22"/>
    <mergeCell ref="G23:G24"/>
    <mergeCell ref="N23:O24"/>
    <mergeCell ref="P23:P24"/>
    <mergeCell ref="I23:I24"/>
    <mergeCell ref="I21:I22"/>
    <mergeCell ref="C31:D32"/>
    <mergeCell ref="E31:E32"/>
    <mergeCell ref="N31:O32"/>
    <mergeCell ref="P31:P32"/>
    <mergeCell ref="C29:D30"/>
    <mergeCell ref="E29:E30"/>
    <mergeCell ref="C27:D28"/>
    <mergeCell ref="E27:E28"/>
    <mergeCell ref="I27:I28"/>
    <mergeCell ref="N27:O28"/>
    <mergeCell ref="P27:P28"/>
    <mergeCell ref="G31:G32"/>
    <mergeCell ref="N29:O30"/>
    <mergeCell ref="I29:I30"/>
    <mergeCell ref="T37:U38"/>
    <mergeCell ref="E35:E36"/>
    <mergeCell ref="I35:I36"/>
    <mergeCell ref="L29:L30"/>
    <mergeCell ref="L31:L32"/>
    <mergeCell ref="L33:L34"/>
    <mergeCell ref="L35:L36"/>
    <mergeCell ref="G27:G28"/>
    <mergeCell ref="G29:G30"/>
    <mergeCell ref="P29:P30"/>
    <mergeCell ref="E44:E45"/>
    <mergeCell ref="E46:E47"/>
    <mergeCell ref="N35:O36"/>
    <mergeCell ref="P35:P36"/>
    <mergeCell ref="C33:D34"/>
    <mergeCell ref="E33:E34"/>
    <mergeCell ref="I33:I34"/>
    <mergeCell ref="N33:O34"/>
    <mergeCell ref="P33:P34"/>
    <mergeCell ref="C35:D36"/>
    <mergeCell ref="N37:O38"/>
    <mergeCell ref="P37:Q38"/>
    <mergeCell ref="G33:G34"/>
    <mergeCell ref="G35:G36"/>
    <mergeCell ref="W7:W8"/>
    <mergeCell ref="L23:L24"/>
    <mergeCell ref="L25:L26"/>
    <mergeCell ref="L27:L28"/>
    <mergeCell ref="Q7:Q8"/>
    <mergeCell ref="T5:U6"/>
    <mergeCell ref="U9:U10"/>
    <mergeCell ref="T9:T10"/>
    <mergeCell ref="T11:T12"/>
    <mergeCell ref="T13:T14"/>
    <mergeCell ref="U13:U14"/>
    <mergeCell ref="U11:U12"/>
    <mergeCell ref="T7:T8"/>
    <mergeCell ref="U7:U8"/>
    <mergeCell ref="V5:W6"/>
    <mergeCell ref="V7:V8"/>
    <mergeCell ref="W9:W10"/>
    <mergeCell ref="W11:W12"/>
    <mergeCell ref="V13:V14"/>
    <mergeCell ref="W13:W14"/>
    <mergeCell ref="V15:V20"/>
    <mergeCell ref="V21:V22"/>
    <mergeCell ref="V11:V12"/>
    <mergeCell ref="T15:T20"/>
    <mergeCell ref="V23:V24"/>
    <mergeCell ref="V25:V26"/>
    <mergeCell ref="V27:V28"/>
    <mergeCell ref="V29:V30"/>
    <mergeCell ref="V31:V32"/>
    <mergeCell ref="V33:V34"/>
    <mergeCell ref="V35:V36"/>
    <mergeCell ref="R35:R36"/>
    <mergeCell ref="M5:M36"/>
    <mergeCell ref="Q13:Q14"/>
    <mergeCell ref="Q9:Q10"/>
    <mergeCell ref="P5:Q6"/>
    <mergeCell ref="P7:P8"/>
    <mergeCell ref="V9:V10"/>
    <mergeCell ref="T35:T36"/>
    <mergeCell ref="T21:T22"/>
    <mergeCell ref="T23:T24"/>
    <mergeCell ref="T25:T26"/>
    <mergeCell ref="T29:T30"/>
    <mergeCell ref="T31:T32"/>
    <mergeCell ref="T33:T34"/>
    <mergeCell ref="T27:T28"/>
    <mergeCell ref="Q11:Q12"/>
    <mergeCell ref="R5:S6"/>
    <mergeCell ref="R7:R8"/>
    <mergeCell ref="R9:R10"/>
    <mergeCell ref="S9:S10"/>
    <mergeCell ref="R11:R12"/>
    <mergeCell ref="S11:S12"/>
    <mergeCell ref="R13:R14"/>
    <mergeCell ref="S13:S14"/>
    <mergeCell ref="R15:R20"/>
    <mergeCell ref="R21:R22"/>
    <mergeCell ref="R23:R24"/>
    <mergeCell ref="R25:R26"/>
    <mergeCell ref="R27:R28"/>
    <mergeCell ref="R29:R30"/>
    <mergeCell ref="R31:R32"/>
    <mergeCell ref="R33:R34"/>
    <mergeCell ref="I31:I32"/>
    <mergeCell ref="I25:I26"/>
    <mergeCell ref="G25:G26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51"/>
  <sheetViews>
    <sheetView zoomScale="85" zoomScaleNormal="85" workbookViewId="0">
      <selection activeCell="V27" sqref="V27"/>
    </sheetView>
  </sheetViews>
  <sheetFormatPr baseColWidth="10" defaultColWidth="11.42578125" defaultRowHeight="12.75" x14ac:dyDescent="0.2"/>
  <cols>
    <col min="1" max="1" width="39.28515625" customWidth="1"/>
    <col min="2" max="2" width="15.140625" hidden="1" customWidth="1"/>
    <col min="3" max="3" width="16.7109375" hidden="1" customWidth="1"/>
    <col min="4" max="4" width="15.140625" hidden="1" customWidth="1"/>
    <col min="5" max="5" width="16.7109375" hidden="1" customWidth="1"/>
    <col min="6" max="6" width="11.42578125" style="2" hidden="1" customWidth="1"/>
    <col min="7" max="9" width="11.42578125" hidden="1" customWidth="1"/>
    <col min="10" max="10" width="11.42578125" style="225" hidden="1" customWidth="1"/>
    <col min="11" max="11" width="22" style="283" customWidth="1"/>
    <col min="12" max="12" width="15.5703125" style="283" customWidth="1"/>
    <col min="13" max="13" width="11.42578125" style="412" customWidth="1"/>
    <col min="14" max="14" width="16.28515625" style="412" customWidth="1"/>
    <col min="15" max="15" width="11.42578125" customWidth="1"/>
    <col min="16" max="16" width="16.28515625" customWidth="1"/>
    <col min="17" max="17" width="14" style="3" customWidth="1"/>
    <col min="18" max="18" width="14.7109375" customWidth="1"/>
    <col min="19" max="20" width="14" customWidth="1"/>
  </cols>
  <sheetData>
    <row r="1" spans="1:21" x14ac:dyDescent="0.2">
      <c r="A1" s="4" t="s">
        <v>60</v>
      </c>
      <c r="B1" s="3"/>
      <c r="C1" s="3"/>
      <c r="D1" s="3"/>
      <c r="E1" s="3"/>
    </row>
    <row r="2" spans="1:21" x14ac:dyDescent="0.2">
      <c r="F2" s="146"/>
      <c r="K2" s="519" t="s">
        <v>400</v>
      </c>
      <c r="L2" s="516"/>
      <c r="M2" s="520" t="s">
        <v>412</v>
      </c>
      <c r="N2" s="521"/>
      <c r="O2" s="515" t="s">
        <v>404</v>
      </c>
      <c r="P2" s="516"/>
      <c r="Q2" s="515" t="s">
        <v>397</v>
      </c>
      <c r="R2" s="516"/>
      <c r="S2" s="515" t="s">
        <v>414</v>
      </c>
      <c r="T2" s="516"/>
    </row>
    <row r="3" spans="1:21" s="20" customFormat="1" ht="49.5" customHeight="1" x14ac:dyDescent="0.2">
      <c r="A3" s="196" t="s">
        <v>61</v>
      </c>
      <c r="B3" s="19" t="s">
        <v>72</v>
      </c>
      <c r="C3" s="19" t="s">
        <v>77</v>
      </c>
      <c r="D3" s="19" t="s">
        <v>356</v>
      </c>
      <c r="E3" s="19" t="s">
        <v>357</v>
      </c>
      <c r="F3" s="147" t="s">
        <v>139</v>
      </c>
      <c r="G3" s="170" t="s">
        <v>354</v>
      </c>
      <c r="H3" s="171" t="s">
        <v>359</v>
      </c>
      <c r="I3" s="226" t="s">
        <v>373</v>
      </c>
      <c r="J3" s="186"/>
      <c r="K3" s="226" t="s">
        <v>372</v>
      </c>
      <c r="L3" s="284" t="s">
        <v>372</v>
      </c>
      <c r="M3" s="226" t="s">
        <v>372</v>
      </c>
      <c r="N3" s="284" t="s">
        <v>372</v>
      </c>
      <c r="O3" s="226" t="s">
        <v>372</v>
      </c>
      <c r="P3" s="284" t="s">
        <v>372</v>
      </c>
      <c r="Q3" s="226" t="s">
        <v>372</v>
      </c>
      <c r="R3" s="284" t="s">
        <v>372</v>
      </c>
      <c r="S3" s="226" t="s">
        <v>372</v>
      </c>
      <c r="T3" s="284" t="s">
        <v>372</v>
      </c>
    </row>
    <row r="4" spans="1:21" ht="15" x14ac:dyDescent="0.25">
      <c r="A4" s="197" t="s">
        <v>100</v>
      </c>
      <c r="B4" s="14"/>
      <c r="C4" s="15"/>
      <c r="D4" s="2">
        <v>232990</v>
      </c>
      <c r="E4" s="2">
        <v>331722</v>
      </c>
      <c r="F4" s="8">
        <v>418000</v>
      </c>
      <c r="G4" s="172" t="e">
        <f>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</f>
        <v>#REF!</v>
      </c>
      <c r="H4" s="172">
        <v>456</v>
      </c>
      <c r="I4" s="228">
        <f>+'Activity budget  D'!H27+'Activity budget  D'!H49+'Activity budget  D'!H68+'Activity budget  D'!H95+'Activity budget  D'!H108+'Activity budget  D'!H127+'Activity budget  D'!H143+'Activity budget  D'!H170+'Activity budget  D'!H206+'Activity budget  D'!H237+'Activity budget  D'!H253+'Activity budget  D'!H263+'Activity budget  D'!H278+'Activity budget  D'!H286+'Activity budget  D'!H306</f>
        <v>337102.43000000005</v>
      </c>
      <c r="J4" s="236">
        <f>+I4/1000</f>
        <v>337.10243000000003</v>
      </c>
      <c r="K4" s="285">
        <f>+'Activity budget  D'!D27+'Activity budget  D'!D49+'Activity budget  D'!D68+'Activity budget  D'!D95+'Activity budget  D'!D108+'Activity budget  D'!D127+'Activity budget  D'!D143+'Activity budget  D'!D170+'Activity budget  D'!D206+'Activity budget  D'!D237+'Activity budget  D'!D253+'Activity budget  D'!D263+'Activity budget  D'!D278+'Activity budget  D'!D286+'Activity budget  D'!D306+'Activity budget  D'!D180</f>
        <v>679561</v>
      </c>
      <c r="L4" s="286">
        <f>+K4/1000</f>
        <v>679.56100000000004</v>
      </c>
      <c r="M4" s="285">
        <f>+'Activity budget  D'!F27+'Activity budget  D'!F49+'Activity budget  D'!F68+'Activity budget  D'!F95+'Activity budget  D'!F108+'Activity budget  D'!F127+'Activity budget  D'!F143+'Activity budget  D'!F170+'Activity budget  D'!F206+'Activity budget  D'!F237+'Activity budget  D'!F253+'Activity budget  D'!F263+'Activity budget  D'!F278+'Activity budget  D'!F286+'Activity budget  D'!F306+'Activity budget  D'!F180</f>
        <v>696600</v>
      </c>
      <c r="N4" s="298">
        <f>+M4/1000</f>
        <v>696.6</v>
      </c>
      <c r="O4" s="285">
        <f>+'Activity budget  D'!G27+'Activity budget  D'!G49+'Activity budget  D'!G68+'Activity budget  D'!G95+'Activity budget  D'!G108+'Activity budget  D'!G127+'Activity budget  D'!G143+'Activity budget  D'!G170+'Activity budget  D'!G206+'Activity budget  D'!G237+'Activity budget  D'!G253+'Activity budget  D'!G263+'Activity budget  D'!G278+'Activity budget  D'!G286+'Activity budget  D'!G306+'Activity budget  D'!G180</f>
        <v>648924</v>
      </c>
      <c r="P4" s="298">
        <f>+O4/1000</f>
        <v>648.92399999999998</v>
      </c>
      <c r="Q4" s="285">
        <f>+'Activity budget  D'!H27+'Activity budget  D'!H49+'Activity budget  D'!H68+'Activity budget  D'!H95+'Activity budget  D'!H108+'Activity budget  D'!H127+'Activity budget  D'!H143+'Activity budget  D'!H170+'Activity budget  D'!H206+'Activity budget  D'!H237+'Activity budget  D'!H253+'Activity budget  D'!H263+'Activity budget  D'!H278+'Activity budget  D'!H286+'Activity budget  D'!H306+'Activity budget  D'!H180</f>
        <v>344323.68000000005</v>
      </c>
      <c r="R4" s="306">
        <f>+Q4/1000</f>
        <v>344.32368000000002</v>
      </c>
      <c r="S4" s="378">
        <f>+'Activity budget  D'!I27+'Activity budget  D'!I49+'Activity budget  D'!I68+'Activity budget  D'!I95+'Activity budget  D'!I108+'Activity budget  D'!I127+'Activity budget  D'!I143+'Activity budget  D'!I170+'Activity budget  D'!I206+'Activity budget  D'!I237+'Activity budget  D'!I253+'Activity budget  D'!I263+'Activity budget  D'!I278+'Activity budget  D'!I286+'Activity budget  D'!I306+'Activity budget  D'!I180+'Activity budget  D'!J286</f>
        <v>660241</v>
      </c>
      <c r="T4" s="306">
        <f>+S4/1000</f>
        <v>660.24099999999999</v>
      </c>
    </row>
    <row r="5" spans="1:21" x14ac:dyDescent="0.2">
      <c r="A5" s="197" t="s">
        <v>101</v>
      </c>
      <c r="B5" s="14"/>
      <c r="C5" s="15"/>
      <c r="D5" s="148">
        <v>344816</v>
      </c>
      <c r="E5" s="2">
        <v>422278</v>
      </c>
      <c r="F5" s="8">
        <v>299000</v>
      </c>
      <c r="G5" s="172" t="e">
        <f>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</f>
        <v>#REF!</v>
      </c>
      <c r="H5" s="173">
        <v>238</v>
      </c>
      <c r="I5" s="235">
        <f>+'Activity budget  D'!H24+'Activity budget  D'!H35+'Activity budget  D'!H43+'Activity budget  D'!H56+'Activity budget  D'!H65+'Activity budget  D'!H89+'Activity budget  D'!H102+'Activity budget  D'!H115+'Activity budget  D'!H121+'Activity budget  D'!H134+'Activity budget  D'!H146+'Activity budget  D'!H167+'Activity budget  D'!H177+'Activity budget  D'!H189+'Activity budget  D'!H192+'Activity budget  D'!H203+'Activity budget  D'!H213+'Activity budget  D'!H220+'Activity budget  D'!H227+'Activity budget  D'!H231+'Activity budget  D'!H244+'Activity budget  D'!H247+'Activity budget  D'!H250+'Activity budget  D'!H273+'Activity budget  D'!H276+'Activity budget  D'!H304</f>
        <v>38811</v>
      </c>
      <c r="J5" s="236">
        <f t="shared" ref="J5:J16" si="0">+I5/1000</f>
        <v>38.811</v>
      </c>
      <c r="K5" s="285">
        <f>+'Activity budget  D'!D24+'Activity budget  D'!D35+'Activity budget  D'!D43+'Activity budget  D'!D56+'Activity budget  D'!D65+'Activity budget  D'!D89+'Activity budget  D'!D102+'Activity budget  D'!D115+'Activity budget  D'!D121+'Activity budget  D'!D134+'Activity budget  D'!D146+'Activity budget  D'!D167+'Activity budget  D'!D177+'Activity budget  D'!D189+'Activity budget  D'!D192+'Activity budget  D'!D203+'Activity budget  D'!D213+'Activity budget  D'!D220+'Activity budget  D'!D227+'Activity budget  D'!D231+'Activity budget  D'!D244+'Activity budget  D'!D247+'Activity budget  D'!D250+'Activity budget  D'!D273+'Activity budget  D'!D276+'Activity budget  D'!D304+'Activity budget  D'!D193</f>
        <v>196400</v>
      </c>
      <c r="L5" s="286">
        <f t="shared" ref="L5:L16" si="1">+K5/1000</f>
        <v>196.4</v>
      </c>
      <c r="M5" s="285">
        <f>+'Activity budget  D'!F24+'Activity budget  D'!F35+'Activity budget  D'!F43+'Activity budget  D'!F56+'Activity budget  D'!F65+'Activity budget  D'!F89+'Activity budget  D'!F102+'Activity budget  D'!F115+'Activity budget  D'!F121+'Activity budget  D'!F134+'Activity budget  D'!F146+'Activity budget  D'!F167+'Activity budget  D'!F177+'Activity budget  D'!F189+'Activity budget  D'!F192+'Activity budget  D'!F203+'Activity budget  D'!F213+'Activity budget  D'!F220+'Activity budget  D'!F227+'Activity budget  D'!F231+'Activity budget  D'!F244+'Activity budget  D'!F247+'Activity budget  D'!F250+'Activity budget  D'!F273+'Activity budget  D'!F276+'Activity budget  D'!F304+'Activity budget  D'!F193</f>
        <v>231914</v>
      </c>
      <c r="N5" s="298">
        <f t="shared" ref="N5" si="2">+M5/1000</f>
        <v>231.91399999999999</v>
      </c>
      <c r="O5" s="285">
        <f>+'Activity budget  D'!G24+'Activity budget  D'!G35+'Activity budget  D'!G43+'Activity budget  D'!G56+'Activity budget  D'!G65+'Activity budget  D'!G89+'Activity budget  D'!G102+'Activity budget  D'!G115+'Activity budget  D'!G121+'Activity budget  D'!G134+'Activity budget  D'!G146+'Activity budget  D'!G167+'Activity budget  D'!G177+'Activity budget  D'!G189+'Activity budget  D'!G192+'Activity budget  D'!G203+'Activity budget  D'!G213+'Activity budget  D'!G220+'Activity budget  D'!G227+'Activity budget  D'!G231+'Activity budget  D'!G244+'Activity budget  D'!G247+'Activity budget  D'!G250+'Activity budget  D'!G273+'Activity budget  D'!G276+'Activity budget  D'!G304+'Activity budget  D'!G193</f>
        <v>253139.5</v>
      </c>
      <c r="P5" s="298">
        <f t="shared" ref="P5:P16" si="3">+O5/1000</f>
        <v>253.1395</v>
      </c>
      <c r="Q5" s="285">
        <f>+'Activity budget  D'!H24+'Activity budget  D'!H35+'Activity budget  D'!H43+'Activity budget  D'!H56+'Activity budget  D'!H65+'Activity budget  D'!H89+'Activity budget  D'!H102+'Activity budget  D'!H115+'Activity budget  D'!H121+'Activity budget  D'!H134+'Activity budget  D'!H146+'Activity budget  D'!H167+'Activity budget  D'!H177+'Activity budget  D'!H189+'Activity budget  D'!H192+'Activity budget  D'!H203+'Activity budget  D'!H213+'Activity budget  D'!H220+'Activity budget  D'!H227+'Activity budget  D'!H231+'Activity budget  D'!H244+'Activity budget  D'!H247+'Activity budget  D'!H250+'Activity budget  D'!H273+'Activity budget  D'!H276+'Activity budget  D'!H304</f>
        <v>38811</v>
      </c>
      <c r="R5" s="306">
        <f t="shared" ref="R5:R16" si="4">+Q5/1000</f>
        <v>38.811</v>
      </c>
      <c r="S5" s="285">
        <f>+'Activity budget  D'!I24+'Activity budget  D'!I35+'Activity budget  D'!I43+'Activity budget  D'!I56+'Activity budget  D'!I65+'Activity budget  D'!I89+'Activity budget  D'!I102+'Activity budget  D'!I115+'Activity budget  D'!I121+'Activity budget  D'!I134+'Activity budget  D'!I146+'Activity budget  D'!I167+'Activity budget  D'!I177+'Activity budget  D'!I189+'Activity budget  D'!I192+'Activity budget  D'!I203+'Activity budget  D'!I213+'Activity budget  D'!I220+'Activity budget  D'!I227+'Activity budget  D'!I231+'Activity budget  D'!I244+'Activity budget  D'!I247+'Activity budget  D'!I250+'Activity budget  D'!I273+'Activity budget  D'!I276+'Activity budget  D'!I304+'Activity budget  D'!I193+'Activity budget  D'!J30+'Activity budget  D'!J59+'Activity budget  D'!J189+'Activity budget  D'!J203+'Activity budget  D'!J304+'Activity budget  D'!J190+'Activity budget  D'!J193+'Activity budget  D'!J204+'Activity budget  D'!J305</f>
        <v>253066</v>
      </c>
      <c r="T5" s="306">
        <f t="shared" ref="T5:T16" si="5">+S5/1000</f>
        <v>253.066</v>
      </c>
    </row>
    <row r="6" spans="1:21" x14ac:dyDescent="0.2">
      <c r="A6" s="195" t="s">
        <v>102</v>
      </c>
      <c r="B6" s="14">
        <v>571963</v>
      </c>
      <c r="C6" s="15">
        <v>573000</v>
      </c>
      <c r="D6" s="15">
        <v>577806</v>
      </c>
      <c r="E6" s="14">
        <v>754000</v>
      </c>
      <c r="F6" s="15">
        <f>SUM(F4:F5)</f>
        <v>717000</v>
      </c>
      <c r="G6" s="173"/>
      <c r="H6" s="173"/>
      <c r="I6" s="229"/>
      <c r="J6" s="236"/>
      <c r="K6" s="303"/>
      <c r="L6" s="286">
        <f t="shared" si="1"/>
        <v>0</v>
      </c>
      <c r="M6" s="292"/>
      <c r="N6" s="298"/>
      <c r="O6" s="292"/>
      <c r="P6" s="298"/>
      <c r="Q6" s="304"/>
      <c r="R6" s="306">
        <f t="shared" si="4"/>
        <v>0</v>
      </c>
      <c r="S6" s="377"/>
      <c r="T6" s="306">
        <f t="shared" si="5"/>
        <v>0</v>
      </c>
    </row>
    <row r="7" spans="1:21" ht="15" x14ac:dyDescent="0.25">
      <c r="A7" s="191" t="s">
        <v>103</v>
      </c>
      <c r="D7" s="2">
        <v>13731</v>
      </c>
      <c r="E7" s="8">
        <v>41051</v>
      </c>
      <c r="F7" s="8">
        <v>60000</v>
      </c>
      <c r="G7" s="172" t="e">
        <f>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</f>
        <v>#REF!</v>
      </c>
      <c r="H7" s="172">
        <v>53</v>
      </c>
      <c r="I7" s="228">
        <f>+'Activity budget  D'!H28+'Activity budget  D'!H50+'Activity budget  D'!H69+'Activity budget  D'!H96+'Activity budget  D'!H109+'Activity budget  D'!H128+'Activity budget  D'!H144+'Activity budget  D'!H171+'Activity budget  D'!H181+'Activity budget  D'!H215+'Activity budget  D'!H222+'Activity budget  D'!H229+'Activity budget  D'!H254+'Activity budget  D'!H293+'Activity budget  D'!H307</f>
        <v>47975.009999999995</v>
      </c>
      <c r="J7" s="236">
        <f t="shared" si="0"/>
        <v>47.975009999999997</v>
      </c>
      <c r="K7" s="285">
        <f>+'Activity budget  D'!D28+'Activity budget  D'!D50+'Activity budget  D'!D69+'Activity budget  D'!D96+'Activity budget  D'!D109+'Activity budget  D'!D128+'Activity budget  D'!D144+'Activity budget  D'!D171+'Activity budget  D'!D181+'Activity budget  D'!D215+'Activity budget  D'!D222+'Activity budget  D'!D229+'Activity budget  D'!D254+'Activity budget  D'!D293+'Activity budget  D'!D307</f>
        <v>34730</v>
      </c>
      <c r="L7" s="286">
        <f t="shared" si="1"/>
        <v>34.729999999999997</v>
      </c>
      <c r="M7" s="285">
        <f>+'Activity budget  D'!F28+'Activity budget  D'!F50+'Activity budget  D'!F69+'Activity budget  D'!F96+'Activity budget  D'!F109+'Activity budget  D'!F128+'Activity budget  D'!F144+'Activity budget  D'!F171+'Activity budget  D'!F181+'Activity budget  D'!F215+'Activity budget  D'!F222+'Activity budget  D'!F229+'Activity budget  D'!F254+'Activity budget  D'!F293+'Activity budget  D'!F307</f>
        <v>48870</v>
      </c>
      <c r="N7" s="298">
        <f t="shared" ref="N7:N8" si="6">+M7/1000</f>
        <v>48.87</v>
      </c>
      <c r="O7" s="285">
        <f>+'Activity budget  D'!G28+'Activity budget  D'!G50+'Activity budget  D'!G69+'Activity budget  D'!G96+'Activity budget  D'!G109+'Activity budget  D'!G128+'Activity budget  D'!G144+'Activity budget  D'!G171+'Activity budget  D'!G181+'Activity budget  D'!G215+'Activity budget  D'!G222+'Activity budget  D'!G229+'Activity budget  D'!G254+'Activity budget  D'!G293+'Activity budget  D'!G307</f>
        <v>53712</v>
      </c>
      <c r="P7" s="298">
        <f t="shared" si="3"/>
        <v>53.712000000000003</v>
      </c>
      <c r="Q7" s="285">
        <f>+'Activity budget  D'!H28+'Activity budget  D'!H50+'Activity budget  D'!H69+'Activity budget  D'!H96+'Activity budget  D'!H109+'Activity budget  D'!H128+'Activity budget  D'!H144+'Activity budget  D'!H171+'Activity budget  D'!H181+'Activity budget  D'!H215+'Activity budget  D'!H222+'Activity budget  D'!H229+'Activity budget  D'!H254+'Activity budget  D'!H293+'Activity budget  D'!H307</f>
        <v>47975.009999999995</v>
      </c>
      <c r="R7" s="306">
        <f t="shared" si="4"/>
        <v>47.975009999999997</v>
      </c>
      <c r="S7" s="378">
        <f>+'Activity budget  D'!I28+'Activity budget  D'!I50+'Activity budget  D'!I69+'Activity budget  D'!I96+'Activity budget  D'!I109+'Activity budget  D'!I128+'Activity budget  D'!I144+'Activity budget  D'!I171+'Activity budget  D'!I181+'Activity budget  D'!I215+'Activity budget  D'!I222+'Activity budget  D'!I229+'Activity budget  D'!I254+'Activity budget  D'!I293+'Activity budget  D'!I307+'Activity budget  D'!J293</f>
        <v>57993</v>
      </c>
      <c r="T7" s="306">
        <f t="shared" si="5"/>
        <v>57.993000000000002</v>
      </c>
    </row>
    <row r="8" spans="1:21" x14ac:dyDescent="0.2">
      <c r="A8" s="191" t="s">
        <v>104</v>
      </c>
      <c r="B8" s="15"/>
      <c r="C8" s="15"/>
      <c r="D8" s="8">
        <v>97542</v>
      </c>
      <c r="E8" s="8">
        <v>119104</v>
      </c>
      <c r="F8" s="8">
        <v>161000</v>
      </c>
      <c r="G8" s="172" t="e">
        <f>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</f>
        <v>#REF!</v>
      </c>
      <c r="H8" s="172">
        <v>149</v>
      </c>
      <c r="I8" s="228">
        <f>+'Activity budget  D'!H25+'Activity budget  D'!H31+'Activity budget  D'!H44+'Activity budget  D'!H47+'Activity budget  D'!H57+'Activity budget  D'!H60+'Activity budget  D'!H63+'Activity budget  D'!H66+'Activity budget  D'!H90+'Activity budget  D'!H103+'Activity budget  D'!H116+'Activity budget  D'!H122+'Activity budget  D'!H135+'Activity budget  D'!H168+'Activity budget  D'!H178+'Activity budget  D'!H190+'Activity budget  D'!H204+'Activity budget  D'!H214+'Activity budget  D'!H221+'Activity budget  D'!H232+'Activity budget  D'!H251+'Activity budget  D'!H305</f>
        <v>20213</v>
      </c>
      <c r="J8" s="236">
        <f t="shared" si="0"/>
        <v>20.213000000000001</v>
      </c>
      <c r="K8" s="285">
        <f>+'Activity budget  D'!D25+'Activity budget  D'!D31+'Activity budget  D'!D44+'Activity budget  D'!D47+'Activity budget  D'!D57+'Activity budget  D'!D60+'Activity budget  D'!D63+'Activity budget  D'!D66+'Activity budget  D'!D90+'Activity budget  D'!D103+'Activity budget  D'!D116+'Activity budget  D'!D122+'Activity budget  D'!D135+'Activity budget  D'!D168+'Activity budget  D'!D178+'Activity budget  D'!D190+'Activity budget  D'!D204+'Activity budget  D'!D214+'Activity budget  D'!D221+'Activity budget  D'!D232+'Activity budget  D'!D251+'Activity budget  D'!D274+'Activity budget  D'!D277+'Activity budget  D'!D305</f>
        <v>106719</v>
      </c>
      <c r="L8" s="286">
        <f t="shared" si="1"/>
        <v>106.71899999999999</v>
      </c>
      <c r="M8" s="285">
        <f>+'Activity budget  D'!F25+'Activity budget  D'!F31+'Activity budget  D'!F44+'Activity budget  D'!F47+'Activity budget  D'!F57+'Activity budget  D'!F60+'Activity budget  D'!F63+'Activity budget  D'!F66+'Activity budget  D'!F90+'Activity budget  D'!F103+'Activity budget  D'!F116+'Activity budget  D'!F122+'Activity budget  D'!F135+'Activity budget  D'!F168+'Activity budget  D'!F178+'Activity budget  D'!F190+'Activity budget  D'!F204+'Activity budget  D'!F214+'Activity budget  D'!F221+'Activity budget  D'!F232+'Activity budget  D'!F251+'Activity budget  D'!F274+'Activity budget  D'!F277+'Activity budget  D'!F305</f>
        <v>73525</v>
      </c>
      <c r="N8" s="298">
        <f t="shared" si="6"/>
        <v>73.525000000000006</v>
      </c>
      <c r="O8" s="285">
        <f>+'Activity budget  D'!G25+'Activity budget  D'!G31+'Activity budget  D'!G44+'Activity budget  D'!G47+'Activity budget  D'!G57+'Activity budget  D'!G60+'Activity budget  D'!G63+'Activity budget  D'!G66+'Activity budget  D'!G90+'Activity budget  D'!G103+'Activity budget  D'!G116+'Activity budget  D'!G122+'Activity budget  D'!G135+'Activity budget  D'!G168+'Activity budget  D'!G178+'Activity budget  D'!G190+'Activity budget  D'!G204+'Activity budget  D'!G214+'Activity budget  D'!G221+'Activity budget  D'!G232+'Activity budget  D'!G251+'Activity budget  D'!G274+'Activity budget  D'!G277+'Activity budget  D'!G305</f>
        <v>70701</v>
      </c>
      <c r="P8" s="298">
        <f t="shared" si="3"/>
        <v>70.700999999999993</v>
      </c>
      <c r="Q8" s="285">
        <f>+'Activity budget  D'!H25+'Activity budget  D'!H31+'Activity budget  D'!H44+'Activity budget  D'!H47+'Activity budget  D'!H57+'Activity budget  D'!H60+'Activity budget  D'!H63+'Activity budget  D'!H66+'Activity budget  D'!H90+'Activity budget  D'!H103+'Activity budget  D'!H116+'Activity budget  D'!H122+'Activity budget  D'!H135+'Activity budget  D'!H168+'Activity budget  D'!H178+'Activity budget  D'!H190+'Activity budget  D'!H204+'Activity budget  D'!H214+'Activity budget  D'!H221+'Activity budget  D'!H232+'Activity budget  D'!H251+'Activity budget  D'!H274+'Activity budget  D'!H277+'Activity budget  D'!H305</f>
        <v>20213</v>
      </c>
      <c r="R8" s="306">
        <f t="shared" si="4"/>
        <v>20.213000000000001</v>
      </c>
      <c r="S8" s="285">
        <f>+'Activity budget  D'!I25+'Activity budget  D'!I31+'Activity budget  D'!I44+'Activity budget  D'!I47+'Activity budget  D'!I57+'Activity budget  D'!I60+'Activity budget  D'!I63+'Activity budget  D'!I66+'Activity budget  D'!I90+'Activity budget  D'!I103+'Activity budget  D'!I116+'Activity budget  D'!I122+'Activity budget  D'!I135+'Activity budget  D'!I168+'Activity budget  D'!I178+'Activity budget  D'!I190+'Activity budget  D'!I204+'Activity budget  D'!I214+'Activity budget  D'!I221+'Activity budget  D'!I232+'Activity budget  D'!I251+'Activity budget  D'!I274+'Activity budget  D'!I277+'Activity budget  D'!I305+'Activity budget  D'!J31</f>
        <v>69085</v>
      </c>
      <c r="T8" s="306">
        <f t="shared" si="5"/>
        <v>69.084999999999994</v>
      </c>
    </row>
    <row r="9" spans="1:21" x14ac:dyDescent="0.2">
      <c r="A9" s="195" t="s">
        <v>105</v>
      </c>
      <c r="B9" s="15">
        <v>204038</v>
      </c>
      <c r="C9" s="15">
        <v>192000</v>
      </c>
      <c r="D9" s="15">
        <v>111273</v>
      </c>
      <c r="E9" s="15">
        <v>160155</v>
      </c>
      <c r="F9" s="15">
        <f>SUM(F7:F8)</f>
        <v>221000</v>
      </c>
      <c r="G9" s="173"/>
      <c r="H9" s="173"/>
      <c r="I9" s="229"/>
      <c r="J9" s="236"/>
      <c r="K9" s="303"/>
      <c r="L9" s="286">
        <f t="shared" si="1"/>
        <v>0</v>
      </c>
      <c r="M9" s="292"/>
      <c r="N9" s="298"/>
      <c r="O9" s="292"/>
      <c r="P9" s="298"/>
      <c r="Q9" s="304"/>
      <c r="R9" s="306">
        <f t="shared" si="4"/>
        <v>0</v>
      </c>
      <c r="S9" s="377"/>
      <c r="T9" s="306">
        <f t="shared" si="5"/>
        <v>0</v>
      </c>
    </row>
    <row r="10" spans="1:21" ht="15" x14ac:dyDescent="0.25">
      <c r="A10" s="191" t="s">
        <v>73</v>
      </c>
      <c r="B10" s="2">
        <v>91460</v>
      </c>
      <c r="C10" s="8">
        <v>103000</v>
      </c>
      <c r="D10" s="2">
        <v>119021</v>
      </c>
      <c r="E10" s="2">
        <v>121144</v>
      </c>
      <c r="F10" s="11">
        <v>113000</v>
      </c>
      <c r="G10" s="172" t="e">
        <f>'Activity budget  D'!#REF!</f>
        <v>#REF!</v>
      </c>
      <c r="H10" s="172">
        <v>115</v>
      </c>
      <c r="I10" s="228">
        <f>+'Activity budget  D'!H289</f>
        <v>121919.19</v>
      </c>
      <c r="J10" s="236">
        <f t="shared" si="0"/>
        <v>121.91919</v>
      </c>
      <c r="K10" s="285">
        <f>+'Activity budget  D'!D289</f>
        <v>146000</v>
      </c>
      <c r="L10" s="286">
        <f t="shared" si="1"/>
        <v>146</v>
      </c>
      <c r="M10" s="285">
        <f>+'Activity budget  D'!F289</f>
        <v>148400</v>
      </c>
      <c r="N10" s="298">
        <f t="shared" ref="N10:N12" si="7">+M10/1000</f>
        <v>148.4</v>
      </c>
      <c r="O10" s="285">
        <f>+'Activity budget  D'!G289</f>
        <v>147800</v>
      </c>
      <c r="P10" s="298">
        <f t="shared" si="3"/>
        <v>147.80000000000001</v>
      </c>
      <c r="Q10" s="285">
        <f>+'Activity budget  D'!H289</f>
        <v>121919.19</v>
      </c>
      <c r="R10" s="306">
        <f t="shared" si="4"/>
        <v>121.91919</v>
      </c>
      <c r="S10" s="378">
        <f>+'Activity budget  D'!I289</f>
        <v>146941</v>
      </c>
      <c r="T10" s="306">
        <f t="shared" si="5"/>
        <v>146.941</v>
      </c>
    </row>
    <row r="11" spans="1:21" ht="15" x14ac:dyDescent="0.25">
      <c r="A11" s="191" t="s">
        <v>62</v>
      </c>
      <c r="B11" s="2">
        <v>11500</v>
      </c>
      <c r="C11" s="8">
        <v>2000</v>
      </c>
      <c r="D11" s="2">
        <v>2793</v>
      </c>
      <c r="E11" s="2">
        <v>6652</v>
      </c>
      <c r="F11" s="11">
        <v>6000</v>
      </c>
      <c r="G11" s="172" t="e">
        <f>'Activity budget  D'!#REF!</f>
        <v>#REF!</v>
      </c>
      <c r="H11" s="172">
        <v>7</v>
      </c>
      <c r="I11" s="228">
        <f>+'Activity budget  D'!H288</f>
        <v>242.06</v>
      </c>
      <c r="J11" s="236">
        <f t="shared" si="0"/>
        <v>0.24206</v>
      </c>
      <c r="K11" s="285">
        <f>+'Activity budget  D'!D288</f>
        <v>10000</v>
      </c>
      <c r="L11" s="286">
        <f t="shared" si="1"/>
        <v>10</v>
      </c>
      <c r="M11" s="285">
        <f>+'Activity budget  D'!F288</f>
        <v>3946</v>
      </c>
      <c r="N11" s="298">
        <f t="shared" si="7"/>
        <v>3.9460000000000002</v>
      </c>
      <c r="O11" s="285">
        <f>+'Activity budget  D'!G288</f>
        <v>5000</v>
      </c>
      <c r="P11" s="298">
        <f t="shared" si="3"/>
        <v>5</v>
      </c>
      <c r="Q11" s="285">
        <f>+'Activity budget  D'!H288</f>
        <v>242.06</v>
      </c>
      <c r="R11" s="306">
        <f t="shared" si="4"/>
        <v>0.24206</v>
      </c>
      <c r="S11" s="378">
        <f>+'Activity budget  D'!I288</f>
        <v>4430</v>
      </c>
      <c r="T11" s="306">
        <f t="shared" si="5"/>
        <v>4.43</v>
      </c>
    </row>
    <row r="12" spans="1:21" ht="15" x14ac:dyDescent="0.25">
      <c r="A12" s="191" t="s">
        <v>113</v>
      </c>
      <c r="B12" s="2">
        <v>4510</v>
      </c>
      <c r="C12" s="8">
        <v>6000</v>
      </c>
      <c r="D12" s="2">
        <v>3337</v>
      </c>
      <c r="E12" s="2">
        <v>6570</v>
      </c>
      <c r="F12" s="11">
        <v>5000</v>
      </c>
      <c r="G12" s="172" t="e">
        <f>'Activity budget  D'!#REF!</f>
        <v>#REF!</v>
      </c>
      <c r="H12" s="172">
        <v>3</v>
      </c>
      <c r="I12" s="235">
        <f>+'Activity budget  D'!H297</f>
        <v>13420.47</v>
      </c>
      <c r="J12" s="236">
        <f t="shared" si="0"/>
        <v>13.42047</v>
      </c>
      <c r="K12" s="285">
        <f>+'Activity budget  D'!D297</f>
        <v>27000</v>
      </c>
      <c r="L12" s="286">
        <f t="shared" si="1"/>
        <v>27</v>
      </c>
      <c r="M12" s="285">
        <f>+'Activity budget  D'!F297</f>
        <v>27000</v>
      </c>
      <c r="N12" s="298">
        <f t="shared" si="7"/>
        <v>27</v>
      </c>
      <c r="O12" s="285">
        <f>+'Activity budget  D'!G297</f>
        <v>27000</v>
      </c>
      <c r="P12" s="298">
        <f t="shared" si="3"/>
        <v>27</v>
      </c>
      <c r="Q12" s="285">
        <f>+'Activity budget  D'!H297</f>
        <v>13420.47</v>
      </c>
      <c r="R12" s="306">
        <f t="shared" si="4"/>
        <v>13.42047</v>
      </c>
      <c r="S12" s="378">
        <f>+'Activity budget  D'!I297</f>
        <v>23000</v>
      </c>
      <c r="T12" s="306">
        <f t="shared" si="5"/>
        <v>23</v>
      </c>
    </row>
    <row r="13" spans="1:21" x14ac:dyDescent="0.2">
      <c r="A13" s="191" t="s">
        <v>358</v>
      </c>
      <c r="B13" s="2"/>
      <c r="C13" s="8"/>
      <c r="D13" s="2">
        <v>17987</v>
      </c>
      <c r="E13" s="2"/>
      <c r="F13" s="11"/>
      <c r="G13" s="172"/>
      <c r="H13" s="173"/>
      <c r="I13" s="229"/>
      <c r="J13" s="236"/>
      <c r="K13" s="303"/>
      <c r="L13" s="286">
        <f t="shared" si="1"/>
        <v>0</v>
      </c>
      <c r="M13" s="292"/>
      <c r="N13" s="298"/>
      <c r="O13" s="292"/>
      <c r="P13" s="298"/>
      <c r="Q13" s="304"/>
      <c r="R13" s="306">
        <f t="shared" si="4"/>
        <v>0</v>
      </c>
      <c r="S13" s="377"/>
      <c r="T13" s="306">
        <f t="shared" si="5"/>
        <v>0</v>
      </c>
    </row>
    <row r="14" spans="1:21" ht="15" x14ac:dyDescent="0.25">
      <c r="A14" s="191" t="s">
        <v>74</v>
      </c>
      <c r="B14" s="2">
        <v>20820</v>
      </c>
      <c r="C14" s="8">
        <v>29000</v>
      </c>
      <c r="D14" s="2">
        <v>29535</v>
      </c>
      <c r="E14" s="2">
        <v>37902</v>
      </c>
      <c r="F14" s="11">
        <v>38000</v>
      </c>
      <c r="G14" s="172" t="e">
        <f>'Activity budget  D'!#REF!+'Activity budget  D'!#REF!</f>
        <v>#REF!</v>
      </c>
      <c r="H14" s="172">
        <v>37</v>
      </c>
      <c r="I14" s="228">
        <f>+'Activity budget  D'!H269+'Activity budget  D'!H270</f>
        <v>3746.49</v>
      </c>
      <c r="J14" s="236">
        <f t="shared" si="0"/>
        <v>3.7464899999999997</v>
      </c>
      <c r="K14" s="285">
        <f>+'Activity budget  D'!D269+'Activity budget  D'!D270</f>
        <v>39066</v>
      </c>
      <c r="L14" s="286">
        <f t="shared" si="1"/>
        <v>39.066000000000003</v>
      </c>
      <c r="M14" s="285">
        <f>+'Activity budget  D'!F269+'Activity budget  D'!F270</f>
        <v>28000</v>
      </c>
      <c r="N14" s="298">
        <f t="shared" ref="N14:N16" si="8">+M14/1000</f>
        <v>28</v>
      </c>
      <c r="O14" s="285">
        <f>+'Activity budget  D'!G269+'Activity budget  D'!G270</f>
        <v>28000</v>
      </c>
      <c r="P14" s="298">
        <f t="shared" si="3"/>
        <v>28</v>
      </c>
      <c r="Q14" s="285">
        <f>+'Activity budget  D'!H269+'Activity budget  D'!H270</f>
        <v>3746.49</v>
      </c>
      <c r="R14" s="306">
        <f t="shared" si="4"/>
        <v>3.7464899999999997</v>
      </c>
      <c r="S14" s="378">
        <f>+'Activity budget  D'!I269+'Activity budget  D'!I270</f>
        <v>28000</v>
      </c>
      <c r="T14" s="306">
        <f t="shared" si="5"/>
        <v>28</v>
      </c>
    </row>
    <row r="15" spans="1:21" x14ac:dyDescent="0.2">
      <c r="A15" s="191" t="s">
        <v>70</v>
      </c>
      <c r="B15" s="2">
        <v>23750</v>
      </c>
      <c r="C15" s="8">
        <v>36000</v>
      </c>
      <c r="D15" s="2">
        <v>59221</v>
      </c>
      <c r="E15" s="2">
        <v>56578</v>
      </c>
      <c r="F15" s="11">
        <v>62000</v>
      </c>
      <c r="G15" s="172" t="e">
        <f>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</f>
        <v>#REF!</v>
      </c>
      <c r="H15" s="172">
        <v>100</v>
      </c>
      <c r="I15" s="228">
        <f>+'Activity budget  D'!H37+'Activity budget  D'!H51+'Activity budget  D'!H70+'Activity budget  D'!H97+'Activity budget  D'!H110+'Activity budget  D'!H129+'Activity budget  D'!H148+'Activity budget  D'!H172+'Activity budget  D'!H182+'Activity budget  D'!H208+'Activity budget  D'!H239+'Activity budget  D'!H255+'Activity budget  D'!H259+'Activity budget  D'!H260+'Activity budget  D'!H261+'Activity budget  D'!H262+'Activity budget  D'!H264+'Activity budget  D'!H265+'Activity budget  D'!H279</f>
        <v>104125.44</v>
      </c>
      <c r="J15" s="236">
        <f t="shared" si="0"/>
        <v>104.12544</v>
      </c>
      <c r="K15" s="285">
        <f>+'Activity budget  D'!D37+'Activity budget  D'!D51+'Activity budget  D'!D70+'Activity budget  D'!D97+'Activity budget  D'!D110+'Activity budget  D'!D129+'Activity budget  D'!D148+'Activity budget  D'!D172+'Activity budget  D'!D182+'Activity budget  D'!D208+'Activity budget  D'!D239+'Activity budget  D'!D255+'Activity budget  D'!D259+'Activity budget  D'!D260+'Activity budget  D'!D261+'Activity budget  D'!D262+'Activity budget  D'!D264+'Activity budget  D'!D265+'Activity budget  D'!D279</f>
        <v>138100</v>
      </c>
      <c r="L15" s="286">
        <f t="shared" si="1"/>
        <v>138.1</v>
      </c>
      <c r="M15" s="285">
        <f>+'Activity budget  D'!F37+'Activity budget  D'!F51+'Activity budget  D'!F70+'Activity budget  D'!F97+'Activity budget  D'!F110+'Activity budget  D'!F129+'Activity budget  D'!F148+'Activity budget  D'!F172+'Activity budget  D'!F182+'Activity budget  D'!F208+'Activity budget  D'!F239+'Activity budget  D'!F255+'Activity budget  D'!F259+'Activity budget  D'!F260+'Activity budget  D'!F261+'Activity budget  D'!F262+'Activity budget  D'!F264+'Activity budget  D'!F265+'Activity budget  D'!F279</f>
        <v>139072</v>
      </c>
      <c r="N15" s="298">
        <f t="shared" si="8"/>
        <v>139.072</v>
      </c>
      <c r="O15" s="285">
        <f>+'Activity budget  D'!G37+'Activity budget  D'!G51+'Activity budget  D'!G70+'Activity budget  D'!G97+'Activity budget  D'!G110+'Activity budget  D'!G129+'Activity budget  D'!G148+'Activity budget  D'!G172+'Activity budget  D'!G182+'Activity budget  D'!G208+'Activity budget  D'!G239+'Activity budget  D'!G255+'Activity budget  D'!G259+'Activity budget  D'!G260+'Activity budget  D'!G261+'Activity budget  D'!G262+'Activity budget  D'!G264+'Activity budget  D'!G265+'Activity budget  D'!G279</f>
        <v>142608</v>
      </c>
      <c r="P15" s="298">
        <f t="shared" si="3"/>
        <v>142.608</v>
      </c>
      <c r="Q15" s="285">
        <f>+'Activity budget  D'!H37+'Activity budget  D'!H51+'Activity budget  D'!H70+'Activity budget  D'!H97+'Activity budget  D'!H110+'Activity budget  D'!H129+'Activity budget  D'!H148+'Activity budget  D'!H172+'Activity budget  D'!H182+'Activity budget  D'!H208+'Activity budget  D'!H239+'Activity budget  D'!H255+'Activity budget  D'!H259+'Activity budget  D'!H260+'Activity budget  D'!H261+'Activity budget  D'!H262+'Activity budget  D'!H264+'Activity budget  D'!H265+'Activity budget  D'!H279</f>
        <v>104125.44</v>
      </c>
      <c r="R15" s="306">
        <f t="shared" si="4"/>
        <v>104.12544</v>
      </c>
      <c r="S15" s="285">
        <f>+'Activity budget  D'!I37+'Activity budget  D'!I51+'Activity budget  D'!I70+'Activity budget  D'!I97+'Activity budget  D'!I110+'Activity budget  D'!I129+'Activity budget  D'!I148+'Activity budget  D'!I172+'Activity budget  D'!I182+'Activity budget  D'!I208+'Activity budget  D'!I239+'Activity budget  D'!I255+'Activity budget  D'!I259+'Activity budget  D'!I260+'Activity budget  D'!I261+'Activity budget  D'!I262+'Activity budget  D'!I264+'Activity budget  D'!I265+'Activity budget  D'!I279</f>
        <v>142521.39000000001</v>
      </c>
      <c r="T15" s="306">
        <f t="shared" si="5"/>
        <v>142.52139000000003</v>
      </c>
      <c r="U15" s="2"/>
    </row>
    <row r="16" spans="1:21" x14ac:dyDescent="0.2">
      <c r="A16" s="191" t="s">
        <v>68</v>
      </c>
      <c r="B16" s="2">
        <v>2500</v>
      </c>
      <c r="C16" s="8">
        <v>2000</v>
      </c>
      <c r="D16" s="2">
        <v>6989</v>
      </c>
      <c r="E16" s="2">
        <v>22770</v>
      </c>
      <c r="F16" s="8">
        <v>22000</v>
      </c>
      <c r="G16" s="172" t="e">
        <f>'Activity budget  D'!#REF!+'Activity budget  D'!#REF!+'Activity budget  D'!#REF!+'Activity budget  D'!#REF!+'Activity budget  D'!#REF!+'Activity budget  D'!#REF!</f>
        <v>#REF!</v>
      </c>
      <c r="H16" s="172">
        <v>2</v>
      </c>
      <c r="I16" s="228">
        <f>+'Activity budget  D'!H33+'Activity budget  D'!H187+'Activity budget  D'!H201+'Activity budget  D'!H271+'Activity budget  D'!H290+'Activity budget  D'!H299</f>
        <v>1356.76</v>
      </c>
      <c r="J16" s="236">
        <f t="shared" si="0"/>
        <v>1.35676</v>
      </c>
      <c r="K16" s="285">
        <f>+'Activity budget  D'!D33+'Activity budget  D'!D187+'Activity budget  D'!D201+'Activity budget  D'!D271+'Activity budget  D'!D290+'Activity budget  D'!D299</f>
        <v>24500</v>
      </c>
      <c r="L16" s="286">
        <f t="shared" si="1"/>
        <v>24.5</v>
      </c>
      <c r="M16" s="285">
        <f>+'Activity budget  D'!F33+'Activity budget  D'!F187+'Activity budget  D'!F201+'Activity budget  D'!F271+'Activity budget  D'!F290+'Activity budget  D'!F299</f>
        <v>22200</v>
      </c>
      <c r="N16" s="298">
        <f t="shared" si="8"/>
        <v>22.2</v>
      </c>
      <c r="O16" s="285">
        <f>+'Activity budget  D'!G33+'Activity budget  D'!G187+'Activity budget  D'!G201+'Activity budget  D'!G271+'Activity budget  D'!G290+'Activity budget  D'!G299</f>
        <v>25200</v>
      </c>
      <c r="P16" s="298">
        <f t="shared" si="3"/>
        <v>25.2</v>
      </c>
      <c r="Q16" s="285">
        <f>+'Activity budget  D'!H33+'Activity budget  D'!H187+'Activity budget  D'!H201+'Activity budget  D'!H271+'Activity budget  D'!H290+'Activity budget  D'!H299</f>
        <v>1356.76</v>
      </c>
      <c r="R16" s="306">
        <f t="shared" si="4"/>
        <v>1.35676</v>
      </c>
      <c r="S16" s="285">
        <f>+'Activity budget  D'!I33+'Activity budget  D'!I187+'Activity budget  D'!I201+'Activity budget  D'!I271+'Activity budget  D'!I290+'Activity budget  D'!I299</f>
        <v>17293</v>
      </c>
      <c r="T16" s="306">
        <f t="shared" si="5"/>
        <v>17.292999999999999</v>
      </c>
    </row>
    <row r="17" spans="1:20" x14ac:dyDescent="0.2">
      <c r="A17" s="191"/>
      <c r="B17" s="2"/>
      <c r="C17" s="8"/>
      <c r="D17" s="2"/>
      <c r="E17" s="2"/>
      <c r="F17" s="8"/>
      <c r="G17" s="173"/>
      <c r="H17" s="172"/>
      <c r="I17" s="228"/>
      <c r="J17" s="17"/>
      <c r="K17" s="233"/>
      <c r="L17" s="193"/>
      <c r="M17" s="233"/>
      <c r="N17" s="193"/>
      <c r="O17" s="233"/>
      <c r="P17" s="193"/>
      <c r="Q17" s="233"/>
      <c r="R17" s="193"/>
      <c r="S17" s="233"/>
      <c r="T17" s="193"/>
    </row>
    <row r="18" spans="1:20" x14ac:dyDescent="0.2">
      <c r="A18" s="192" t="s">
        <v>65</v>
      </c>
      <c r="B18" s="5">
        <f>SUM(B4:B16)</f>
        <v>930541</v>
      </c>
      <c r="C18" s="10">
        <f>SUM(C4:C16)</f>
        <v>943000</v>
      </c>
      <c r="D18" s="5">
        <f>D6+D9+D10+D11+D12+D13+D14+D15+D16</f>
        <v>927962</v>
      </c>
      <c r="E18" s="5">
        <f>E6+E9+E10+E11+E12+E14+E15+E16</f>
        <v>1165771</v>
      </c>
      <c r="F18" s="10">
        <f>F6+F9+F10+F11+F12+F14+F15+F16</f>
        <v>1184000</v>
      </c>
      <c r="G18" s="174" t="e">
        <f t="shared" ref="G18:Q18" si="9">SUM(G4:G17)</f>
        <v>#REF!</v>
      </c>
      <c r="H18" s="174">
        <f t="shared" si="9"/>
        <v>1160</v>
      </c>
      <c r="I18" s="231">
        <f>SUM(I4:I17)</f>
        <v>688911.85000000009</v>
      </c>
      <c r="J18" s="16"/>
      <c r="K18" s="288">
        <f t="shared" si="9"/>
        <v>1402076</v>
      </c>
      <c r="L18" s="289">
        <f t="shared" si="9"/>
        <v>1402.076</v>
      </c>
      <c r="M18" s="288">
        <f t="shared" ref="M18" si="10">SUM(M4:M17)</f>
        <v>1419527</v>
      </c>
      <c r="N18" s="305">
        <f>SUM(N4:N17)</f>
        <v>1419.5270000000003</v>
      </c>
      <c r="O18" s="288">
        <f t="shared" si="9"/>
        <v>1402084.5</v>
      </c>
      <c r="P18" s="305">
        <f>SUM(P4:P17)</f>
        <v>1402.0844999999999</v>
      </c>
      <c r="Q18" s="288">
        <f t="shared" si="9"/>
        <v>696133.10000000009</v>
      </c>
      <c r="R18" s="305">
        <f>SUM(R4:R17)</f>
        <v>696.13310000000013</v>
      </c>
      <c r="S18" s="288">
        <f t="shared" ref="S18" si="11">SUM(S4:S17)</f>
        <v>1402570.3900000001</v>
      </c>
      <c r="T18" s="305">
        <f>SUM(T4:T17)</f>
        <v>1402.5703900000001</v>
      </c>
    </row>
    <row r="19" spans="1:20" x14ac:dyDescent="0.2">
      <c r="A19" s="193"/>
      <c r="B19" s="2"/>
      <c r="C19" s="8"/>
      <c r="D19" s="2"/>
      <c r="E19" s="2"/>
      <c r="F19" s="8"/>
      <c r="G19" s="149" t="e">
        <f>600000/G18</f>
        <v>#REF!</v>
      </c>
      <c r="H19" s="175"/>
      <c r="I19" s="229"/>
      <c r="J19" s="12"/>
      <c r="K19" s="229"/>
      <c r="L19" s="290"/>
      <c r="O19" s="283"/>
      <c r="P19" s="283"/>
      <c r="Q19" s="233"/>
      <c r="R19" s="193"/>
      <c r="S19" s="233"/>
      <c r="T19" s="193"/>
    </row>
    <row r="20" spans="1:20" x14ac:dyDescent="0.2">
      <c r="A20" s="194" t="s">
        <v>66</v>
      </c>
      <c r="B20" s="7"/>
      <c r="C20" s="7"/>
      <c r="D20" s="7"/>
      <c r="E20" s="7"/>
      <c r="F20" s="7"/>
      <c r="G20" s="169"/>
      <c r="H20" s="169"/>
      <c r="I20" s="227"/>
      <c r="J20" s="169"/>
      <c r="K20" s="227"/>
      <c r="L20" s="291"/>
      <c r="M20" s="299"/>
      <c r="N20" s="300"/>
      <c r="O20" s="299"/>
      <c r="P20" s="300"/>
      <c r="Q20" s="299"/>
      <c r="R20" s="300"/>
      <c r="S20" s="299"/>
      <c r="T20" s="300"/>
    </row>
    <row r="21" spans="1:20" ht="15" x14ac:dyDescent="0.25">
      <c r="A21" s="191" t="s">
        <v>106</v>
      </c>
      <c r="D21" s="2">
        <v>47932</v>
      </c>
      <c r="E21" s="2">
        <v>81700</v>
      </c>
      <c r="F21" s="8">
        <v>72000</v>
      </c>
      <c r="G21" s="176" t="e">
        <f>'Activity budget  D'!#REF!+'Activity budget  D'!#REF!+'Activity budget  D'!#REF!</f>
        <v>#REF!</v>
      </c>
      <c r="H21" s="172">
        <v>69</v>
      </c>
      <c r="I21" s="228">
        <f>+'Activity budget  D'!H238+'Activity budget  D'!H287+'Activity budget  D'!H346</f>
        <v>91149.04</v>
      </c>
      <c r="J21" s="236">
        <v>75.7</v>
      </c>
      <c r="K21" s="285">
        <f>+'Activity budget  D'!D238+'Activity budget  D'!D287+'Activity budget  D'!D346</f>
        <v>0</v>
      </c>
      <c r="L21" s="286">
        <f>+K21/1000</f>
        <v>0</v>
      </c>
      <c r="M21" s="285">
        <f>+'Activity budget  D'!F238+'Activity budget  D'!F287+'Activity budget  D'!F346</f>
        <v>0</v>
      </c>
      <c r="N21" s="301">
        <f>+M21/1000</f>
        <v>0</v>
      </c>
      <c r="O21" s="285">
        <f>+'Activity budget  D'!G238+'Activity budget  D'!G287+'Activity budget  D'!G346</f>
        <v>16114</v>
      </c>
      <c r="P21" s="301">
        <f>+O21/1000</f>
        <v>16.114000000000001</v>
      </c>
      <c r="Q21" s="285">
        <f>+'Activity budget  D'!H238+'Activity budget  D'!H287+'Activity budget  D'!H346</f>
        <v>91149.04</v>
      </c>
      <c r="R21" s="306">
        <f>+Q21/1000</f>
        <v>91.149039999999999</v>
      </c>
      <c r="S21" s="378">
        <f>+'Activity budget  D'!I238+'Activity budget  D'!I287+'Activity budget  D'!I346</f>
        <v>18674</v>
      </c>
      <c r="T21" s="306">
        <f>+S21/1000</f>
        <v>18.673999999999999</v>
      </c>
    </row>
    <row r="22" spans="1:20" x14ac:dyDescent="0.2">
      <c r="A22" s="191" t="s">
        <v>107</v>
      </c>
      <c r="B22" s="2"/>
      <c r="C22" s="8"/>
      <c r="D22" s="2">
        <v>135176</v>
      </c>
      <c r="E22" s="2">
        <v>174758</v>
      </c>
      <c r="F22" s="8">
        <v>317000</v>
      </c>
      <c r="G22" s="172" t="e">
        <f>'Activity budget  D'!#REF!</f>
        <v>#REF!</v>
      </c>
      <c r="H22" s="172">
        <v>33</v>
      </c>
      <c r="I22" s="228">
        <f>+'Activity budget  D'!H343</f>
        <v>5333.47</v>
      </c>
      <c r="J22" s="236">
        <v>32.799999999999997</v>
      </c>
      <c r="K22" s="285">
        <f>+'Activity budget  D'!D343</f>
        <v>0</v>
      </c>
      <c r="L22" s="286">
        <f t="shared" ref="L22:L30" si="12">+K22/1000</f>
        <v>0</v>
      </c>
      <c r="M22" s="285">
        <f>+'Activity budget  D'!F343</f>
        <v>0</v>
      </c>
      <c r="N22" s="301">
        <f t="shared" ref="N22:N30" si="13">+M22/1000</f>
        <v>0</v>
      </c>
      <c r="O22" s="285">
        <f>+'Activity budget  D'!G343</f>
        <v>5333</v>
      </c>
      <c r="P22" s="301">
        <f t="shared" ref="P22:P30" si="14">+O22/1000</f>
        <v>5.3330000000000002</v>
      </c>
      <c r="Q22" s="285">
        <f>+'Activity budget  D'!H343</f>
        <v>5333.47</v>
      </c>
      <c r="R22" s="306">
        <f t="shared" ref="R22:R30" si="15">+Q22/1000</f>
        <v>5.3334700000000002</v>
      </c>
      <c r="S22" s="285">
        <f>+'Activity budget  D'!I343</f>
        <v>5333</v>
      </c>
      <c r="T22" s="306">
        <f t="shared" ref="T22:T30" si="16">+S22/1000</f>
        <v>5.3330000000000002</v>
      </c>
    </row>
    <row r="23" spans="1:20" x14ac:dyDescent="0.2">
      <c r="A23" s="195" t="s">
        <v>108</v>
      </c>
      <c r="B23" s="14">
        <v>11349</v>
      </c>
      <c r="C23" s="15">
        <v>8000</v>
      </c>
      <c r="D23" s="14">
        <v>183108</v>
      </c>
      <c r="E23" s="14">
        <v>256458</v>
      </c>
      <c r="F23" s="15">
        <f>SUM(F21:F22)</f>
        <v>389000</v>
      </c>
      <c r="G23" s="173"/>
      <c r="H23" s="173"/>
      <c r="I23" s="229"/>
      <c r="J23" s="236"/>
      <c r="K23" s="292"/>
      <c r="L23" s="286">
        <f t="shared" si="12"/>
        <v>0</v>
      </c>
      <c r="M23" s="292"/>
      <c r="N23" s="301">
        <f t="shared" si="13"/>
        <v>0</v>
      </c>
      <c r="O23" s="292"/>
      <c r="P23" s="301">
        <f t="shared" si="14"/>
        <v>0</v>
      </c>
      <c r="Q23" s="304"/>
      <c r="R23" s="306">
        <f t="shared" si="15"/>
        <v>0</v>
      </c>
      <c r="S23" s="377"/>
      <c r="T23" s="306">
        <f t="shared" si="16"/>
        <v>0</v>
      </c>
    </row>
    <row r="24" spans="1:20" x14ac:dyDescent="0.2">
      <c r="A24" s="191" t="s">
        <v>103</v>
      </c>
      <c r="D24" s="6">
        <v>6736</v>
      </c>
      <c r="E24" s="6">
        <v>0</v>
      </c>
      <c r="F24" s="11">
        <v>0</v>
      </c>
      <c r="G24" s="173">
        <v>0</v>
      </c>
      <c r="H24" s="172">
        <v>0</v>
      </c>
      <c r="I24" s="229">
        <v>0</v>
      </c>
      <c r="J24" s="236">
        <v>0</v>
      </c>
      <c r="K24" s="292"/>
      <c r="L24" s="286">
        <f t="shared" si="12"/>
        <v>0</v>
      </c>
      <c r="M24" s="292"/>
      <c r="N24" s="301">
        <f t="shared" si="13"/>
        <v>0</v>
      </c>
      <c r="O24" s="292"/>
      <c r="P24" s="301">
        <f t="shared" si="14"/>
        <v>0</v>
      </c>
      <c r="Q24" s="292"/>
      <c r="R24" s="306">
        <f t="shared" si="15"/>
        <v>0</v>
      </c>
      <c r="S24" s="292"/>
      <c r="T24" s="306">
        <f t="shared" si="16"/>
        <v>0</v>
      </c>
    </row>
    <row r="25" spans="1:20" x14ac:dyDescent="0.2">
      <c r="A25" s="191" t="s">
        <v>104</v>
      </c>
      <c r="B25" s="2"/>
      <c r="C25" s="8"/>
      <c r="D25" s="2">
        <v>42444</v>
      </c>
      <c r="E25" s="2">
        <v>89883</v>
      </c>
      <c r="F25" s="8">
        <v>84000</v>
      </c>
      <c r="G25" s="172" t="e">
        <f>'Activity budget  D'!#REF!</f>
        <v>#REF!</v>
      </c>
      <c r="H25" s="172">
        <v>5</v>
      </c>
      <c r="I25" s="228">
        <f>+'Activity budget  D'!H344</f>
        <v>0</v>
      </c>
      <c r="J25" s="236">
        <v>5.4</v>
      </c>
      <c r="K25" s="285">
        <f>+'Activity budget  D'!D344</f>
        <v>0</v>
      </c>
      <c r="L25" s="286">
        <f t="shared" si="12"/>
        <v>0</v>
      </c>
      <c r="M25" s="285">
        <f>+'Activity budget  D'!F344</f>
        <v>0</v>
      </c>
      <c r="N25" s="301">
        <f t="shared" si="13"/>
        <v>0</v>
      </c>
      <c r="O25" s="285">
        <f>+'Activity budget  D'!G344</f>
        <v>0</v>
      </c>
      <c r="P25" s="301">
        <f t="shared" si="14"/>
        <v>0</v>
      </c>
      <c r="Q25" s="285">
        <f>+'Activity budget  D'!H344</f>
        <v>0</v>
      </c>
      <c r="R25" s="306">
        <f t="shared" si="15"/>
        <v>0</v>
      </c>
      <c r="S25" s="285">
        <f>+'Activity budget  D'!I344</f>
        <v>0</v>
      </c>
      <c r="T25" s="306">
        <f t="shared" si="16"/>
        <v>0</v>
      </c>
    </row>
    <row r="26" spans="1:20" x14ac:dyDescent="0.2">
      <c r="A26" s="195" t="s">
        <v>109</v>
      </c>
      <c r="B26" s="14">
        <v>4230</v>
      </c>
      <c r="C26" s="15">
        <v>4000</v>
      </c>
      <c r="D26" s="14">
        <v>49180</v>
      </c>
      <c r="E26" s="14">
        <v>89883</v>
      </c>
      <c r="F26" s="15">
        <f>SUM(F24:F25)</f>
        <v>84000</v>
      </c>
      <c r="G26" s="173"/>
      <c r="H26" s="173"/>
      <c r="I26" s="229"/>
      <c r="J26" s="236"/>
      <c r="K26" s="303"/>
      <c r="L26" s="286">
        <f t="shared" si="12"/>
        <v>0</v>
      </c>
      <c r="M26" s="292"/>
      <c r="N26" s="301">
        <f t="shared" si="13"/>
        <v>0</v>
      </c>
      <c r="O26" s="292"/>
      <c r="P26" s="301">
        <f t="shared" si="14"/>
        <v>0</v>
      </c>
      <c r="Q26" s="304"/>
      <c r="R26" s="306">
        <f t="shared" si="15"/>
        <v>0</v>
      </c>
      <c r="S26" s="377"/>
      <c r="T26" s="306">
        <f t="shared" si="16"/>
        <v>0</v>
      </c>
    </row>
    <row r="27" spans="1:20" ht="15" x14ac:dyDescent="0.25">
      <c r="A27" s="191" t="s">
        <v>67</v>
      </c>
      <c r="B27" s="2">
        <v>14480</v>
      </c>
      <c r="C27" s="8">
        <v>16000</v>
      </c>
      <c r="D27" s="2">
        <v>16107</v>
      </c>
      <c r="E27" s="2">
        <v>16235</v>
      </c>
      <c r="F27" s="11">
        <v>17000</v>
      </c>
      <c r="G27" s="172" t="e">
        <f>'Activity budget  D'!#REF!</f>
        <v>#REF!</v>
      </c>
      <c r="H27" s="172">
        <v>17</v>
      </c>
      <c r="I27" s="228">
        <f>+'Activity budget  D'!H298</f>
        <v>18384.939999999999</v>
      </c>
      <c r="J27" s="236">
        <v>16.7</v>
      </c>
      <c r="K27" s="285">
        <f>+'Activity budget  D'!D298</f>
        <v>20000</v>
      </c>
      <c r="L27" s="286">
        <f t="shared" si="12"/>
        <v>20</v>
      </c>
      <c r="M27" s="285">
        <f>+'Activity budget  D'!F298</f>
        <v>20000</v>
      </c>
      <c r="N27" s="301">
        <f t="shared" si="13"/>
        <v>20</v>
      </c>
      <c r="O27" s="285">
        <f>+'Activity budget  D'!G298</f>
        <v>19000</v>
      </c>
      <c r="P27" s="301">
        <f t="shared" si="14"/>
        <v>19</v>
      </c>
      <c r="Q27" s="285">
        <f>+'Activity budget  D'!H298</f>
        <v>18384.939999999999</v>
      </c>
      <c r="R27" s="306">
        <f t="shared" si="15"/>
        <v>18.38494</v>
      </c>
      <c r="S27" s="378">
        <f>+'Activity budget  D'!I298</f>
        <v>18385</v>
      </c>
      <c r="T27" s="306">
        <f t="shared" si="16"/>
        <v>18.385000000000002</v>
      </c>
    </row>
    <row r="28" spans="1:20" x14ac:dyDescent="0.2">
      <c r="A28" s="191" t="s">
        <v>63</v>
      </c>
      <c r="B28" s="2">
        <v>300</v>
      </c>
      <c r="C28" s="8">
        <v>1000</v>
      </c>
      <c r="D28" s="2">
        <v>31036</v>
      </c>
      <c r="E28" s="2">
        <v>17983</v>
      </c>
      <c r="F28" s="11">
        <v>84000</v>
      </c>
      <c r="G28" s="172" t="e">
        <f>'Activity budget  D'!#REF!+'Activity budget  D'!#REF!+'Activity budget  D'!#REF!</f>
        <v>#REF!</v>
      </c>
      <c r="H28" s="172">
        <v>6</v>
      </c>
      <c r="I28" s="228">
        <f>+'Activity budget  D'!H282+'Activity budget  D'!H291+'Activity budget  D'!H345</f>
        <v>19.97</v>
      </c>
      <c r="J28" s="236">
        <v>6.2</v>
      </c>
      <c r="K28" s="285">
        <f>+'Activity budget  D'!D282+'Activity budget  D'!D291+'Activity budget  D'!D345</f>
        <v>0</v>
      </c>
      <c r="L28" s="286">
        <f t="shared" si="12"/>
        <v>0</v>
      </c>
      <c r="M28" s="285">
        <f>+'Activity budget  D'!F282+'Activity budget  D'!F291+'Activity budget  D'!F345</f>
        <v>950</v>
      </c>
      <c r="N28" s="301">
        <f t="shared" si="13"/>
        <v>0.95</v>
      </c>
      <c r="O28" s="285">
        <f>+'Activity budget  D'!G282+'Activity budget  D'!G291+'Activity budget  D'!G345</f>
        <v>0</v>
      </c>
      <c r="P28" s="301">
        <f t="shared" si="14"/>
        <v>0</v>
      </c>
      <c r="Q28" s="285">
        <f>+'Activity budget  D'!H282+'Activity budget  D'!H291+'Activity budget  D'!H345</f>
        <v>19.97</v>
      </c>
      <c r="R28" s="306">
        <f t="shared" si="15"/>
        <v>1.9969999999999998E-2</v>
      </c>
      <c r="S28" s="285">
        <f>+'Activity budget  D'!I282+'Activity budget  D'!I291+'Activity budget  D'!I345</f>
        <v>500</v>
      </c>
      <c r="T28" s="306">
        <f t="shared" si="16"/>
        <v>0.5</v>
      </c>
    </row>
    <row r="29" spans="1:20" s="3" customFormat="1" ht="25.5" x14ac:dyDescent="0.2">
      <c r="A29" s="198" t="s">
        <v>112</v>
      </c>
      <c r="B29" s="8">
        <v>0</v>
      </c>
      <c r="C29" s="8">
        <v>0</v>
      </c>
      <c r="D29" s="8">
        <v>23870</v>
      </c>
      <c r="E29" s="8">
        <v>25949</v>
      </c>
      <c r="F29" s="8">
        <v>30000</v>
      </c>
      <c r="G29" s="176" t="e">
        <f>'Activity budget  D'!#REF!</f>
        <v>#REF!</v>
      </c>
      <c r="H29" s="172">
        <v>27</v>
      </c>
      <c r="I29" s="230">
        <f>+'Activity budget  D'!H351</f>
        <v>34993</v>
      </c>
      <c r="J29" s="236">
        <v>26.5</v>
      </c>
      <c r="K29" s="285">
        <f>+'Activity budget  D'!D351</f>
        <v>35000</v>
      </c>
      <c r="L29" s="286">
        <f t="shared" si="12"/>
        <v>35</v>
      </c>
      <c r="M29" s="285">
        <f>+'Activity budget  D'!F351</f>
        <v>35000</v>
      </c>
      <c r="N29" s="301">
        <f t="shared" si="13"/>
        <v>35</v>
      </c>
      <c r="O29" s="285">
        <f>+'Activity budget  D'!G351</f>
        <v>34993</v>
      </c>
      <c r="P29" s="301">
        <f t="shared" si="14"/>
        <v>34.993000000000002</v>
      </c>
      <c r="Q29" s="285">
        <f>+'Activity budget  D'!H351</f>
        <v>34993</v>
      </c>
      <c r="R29" s="306">
        <f t="shared" si="15"/>
        <v>34.993000000000002</v>
      </c>
      <c r="S29" s="285">
        <f>+'Activity budget  D'!I351</f>
        <v>35210</v>
      </c>
      <c r="T29" s="306">
        <f t="shared" si="16"/>
        <v>35.21</v>
      </c>
    </row>
    <row r="30" spans="1:20" x14ac:dyDescent="0.2">
      <c r="A30" s="199" t="s">
        <v>64</v>
      </c>
      <c r="B30" s="2">
        <v>0</v>
      </c>
      <c r="C30" s="8">
        <v>2000</v>
      </c>
      <c r="D30" s="2">
        <v>6000</v>
      </c>
      <c r="E30" s="2">
        <v>17345</v>
      </c>
      <c r="F30" s="8">
        <v>17000</v>
      </c>
      <c r="G30" s="176" t="e">
        <f>'Activity budget  D'!#REF!+'Activity budget  D'!#REF!+'Activity budget  D'!#REF!</f>
        <v>#REF!</v>
      </c>
      <c r="H30" s="172">
        <v>34</v>
      </c>
      <c r="I30" s="230">
        <f>+'Activity budget  D'!H355+'Activity budget  D'!H358+'Activity budget  D'!H360</f>
        <v>274970.74999999988</v>
      </c>
      <c r="J30" s="236">
        <v>31.4</v>
      </c>
      <c r="K30" s="285">
        <f>+'Activity budget  D'!D355+'Activity budget  D'!D358+'Activity budget  D'!D360+'Activity budget  D'!D356</f>
        <v>30400</v>
      </c>
      <c r="L30" s="286">
        <f t="shared" si="12"/>
        <v>30.4</v>
      </c>
      <c r="M30" s="285">
        <f>+'Activity budget  D'!F355+'Activity budget  D'!F358+'Activity budget  D'!F360+'Activity budget  D'!F356</f>
        <v>11999</v>
      </c>
      <c r="N30" s="301">
        <f t="shared" si="13"/>
        <v>11.999000000000001</v>
      </c>
      <c r="O30" s="285">
        <f>+'Activity budget  D'!G355+'Activity budget  D'!G358+'Activity budget  D'!G360+'Activity budget  D'!G356</f>
        <v>15081.5</v>
      </c>
      <c r="P30" s="301">
        <f t="shared" si="14"/>
        <v>15.0815</v>
      </c>
      <c r="Q30" s="285">
        <f>+'Activity budget  D'!H355+'Activity budget  D'!H358+'Activity budget  D'!H360+'Activity budget  D'!H356</f>
        <v>274970.74999999988</v>
      </c>
      <c r="R30" s="306">
        <f t="shared" si="15"/>
        <v>274.9707499999999</v>
      </c>
      <c r="S30" s="285">
        <f>+'Activity budget  D'!I355+'Activity budget  D'!I358+'Activity budget  D'!J360+'Activity budget  D'!I356</f>
        <v>16472</v>
      </c>
      <c r="T30" s="306">
        <f t="shared" si="16"/>
        <v>16.472000000000001</v>
      </c>
    </row>
    <row r="31" spans="1:20" s="225" customFormat="1" x14ac:dyDescent="0.2">
      <c r="A31" s="199"/>
      <c r="B31" s="2"/>
      <c r="C31" s="8"/>
      <c r="D31" s="2"/>
      <c r="E31" s="2"/>
      <c r="F31" s="8"/>
      <c r="G31" s="176"/>
      <c r="H31" s="172"/>
      <c r="I31" s="230"/>
      <c r="J31" s="236"/>
      <c r="K31" s="233"/>
      <c r="L31" s="193"/>
      <c r="M31" s="233"/>
      <c r="N31" s="193"/>
      <c r="O31" s="233"/>
      <c r="P31" s="193"/>
      <c r="Q31" s="233"/>
      <c r="R31" s="193"/>
      <c r="S31" s="233"/>
      <c r="T31" s="193"/>
    </row>
    <row r="32" spans="1:20" x14ac:dyDescent="0.2">
      <c r="A32" s="192" t="s">
        <v>69</v>
      </c>
      <c r="B32" s="5">
        <f>SUM(B22:B30)</f>
        <v>30359</v>
      </c>
      <c r="C32" s="10">
        <f>SUM(C22:C30)</f>
        <v>31000</v>
      </c>
      <c r="D32" s="5">
        <f>D23+D26+D27+D28+D29+D30</f>
        <v>309301</v>
      </c>
      <c r="E32" s="5">
        <f>E23+E26+E27+E28+E29+E30</f>
        <v>423853</v>
      </c>
      <c r="F32" s="10">
        <f t="shared" ref="F32:G32" si="17">F21+F22+F24+F25+F27+F28+F29+F30</f>
        <v>621000</v>
      </c>
      <c r="G32" s="174" t="e">
        <f t="shared" si="17"/>
        <v>#REF!</v>
      </c>
      <c r="H32" s="172">
        <f>SUM(H21:H30)</f>
        <v>191</v>
      </c>
      <c r="I32" s="231">
        <f>SUM(I21:I30)</f>
        <v>424851.16999999987</v>
      </c>
      <c r="J32" s="203">
        <f>SUM(J21:J30)</f>
        <v>194.7</v>
      </c>
      <c r="K32" s="231">
        <f t="shared" ref="K32:N32" si="18">SUM(K21:K30)</f>
        <v>85400</v>
      </c>
      <c r="L32" s="293">
        <f t="shared" si="18"/>
        <v>85.4</v>
      </c>
      <c r="M32" s="231">
        <f t="shared" si="18"/>
        <v>67949</v>
      </c>
      <c r="N32" s="293">
        <f t="shared" si="18"/>
        <v>67.948999999999998</v>
      </c>
      <c r="O32" s="231">
        <f t="shared" ref="O32:T32" si="19">SUM(O21:O30)</f>
        <v>90521.5</v>
      </c>
      <c r="P32" s="293">
        <f t="shared" si="19"/>
        <v>90.521500000000003</v>
      </c>
      <c r="Q32" s="231">
        <f t="shared" si="19"/>
        <v>424851.16999999987</v>
      </c>
      <c r="R32" s="293">
        <f t="shared" si="19"/>
        <v>424.85116999999991</v>
      </c>
      <c r="S32" s="231">
        <f t="shared" si="19"/>
        <v>94574</v>
      </c>
      <c r="T32" s="293">
        <f t="shared" si="19"/>
        <v>94.574000000000012</v>
      </c>
    </row>
    <row r="33" spans="1:20" x14ac:dyDescent="0.2">
      <c r="A33" s="193"/>
      <c r="B33" s="2"/>
      <c r="C33" s="2"/>
      <c r="D33" s="2"/>
      <c r="E33" s="2"/>
      <c r="F33" s="8"/>
      <c r="G33" s="173"/>
      <c r="H33" s="173"/>
      <c r="I33" s="229"/>
      <c r="J33" s="13"/>
      <c r="K33" s="144"/>
      <c r="L33" s="199"/>
      <c r="M33" s="287"/>
      <c r="N33" s="290"/>
      <c r="O33" s="287"/>
      <c r="P33" s="290"/>
      <c r="Q33" s="233"/>
      <c r="R33" s="193"/>
      <c r="S33" s="233"/>
      <c r="T33" s="193"/>
    </row>
    <row r="34" spans="1:20" x14ac:dyDescent="0.2">
      <c r="A34" s="200" t="s">
        <v>71</v>
      </c>
      <c r="B34" s="9">
        <f t="shared" ref="B34:I34" si="20">B18+B32</f>
        <v>960900</v>
      </c>
      <c r="C34" s="9">
        <f t="shared" si="20"/>
        <v>974000</v>
      </c>
      <c r="D34" s="9">
        <f t="shared" si="20"/>
        <v>1237263</v>
      </c>
      <c r="E34" s="9">
        <f t="shared" si="20"/>
        <v>1589624</v>
      </c>
      <c r="F34" s="9">
        <f t="shared" si="20"/>
        <v>1805000</v>
      </c>
      <c r="G34" s="177" t="e">
        <f t="shared" si="20"/>
        <v>#REF!</v>
      </c>
      <c r="H34" s="177">
        <f t="shared" si="20"/>
        <v>1351</v>
      </c>
      <c r="I34" s="232">
        <f t="shared" si="20"/>
        <v>1113763.02</v>
      </c>
      <c r="J34" s="177"/>
      <c r="K34" s="294">
        <f t="shared" ref="K34:L34" si="21">K18+K32</f>
        <v>1487476</v>
      </c>
      <c r="L34" s="295">
        <f t="shared" si="21"/>
        <v>1487.4760000000001</v>
      </c>
      <c r="M34" s="294">
        <f>M18+M32</f>
        <v>1487476</v>
      </c>
      <c r="N34" s="302">
        <f>N18+N32</f>
        <v>1487.4760000000003</v>
      </c>
      <c r="O34" s="294">
        <f>O18+O32</f>
        <v>1492606</v>
      </c>
      <c r="P34" s="302">
        <f>P18+P32</f>
        <v>1492.606</v>
      </c>
      <c r="Q34" s="294">
        <f>Q18+Q32</f>
        <v>1120984.27</v>
      </c>
      <c r="R34" s="307">
        <f>+Q34/1000</f>
        <v>1120.9842699999999</v>
      </c>
      <c r="S34" s="294">
        <f>S18+S32</f>
        <v>1497144.3900000001</v>
      </c>
      <c r="T34" s="307">
        <f>+S34/1000</f>
        <v>1497.1443900000002</v>
      </c>
    </row>
    <row r="35" spans="1:20" x14ac:dyDescent="0.2">
      <c r="A35" s="193"/>
      <c r="I35" s="233"/>
      <c r="J35" s="18"/>
      <c r="K35" s="233"/>
      <c r="L35" s="193"/>
      <c r="M35" s="233"/>
      <c r="N35" s="193"/>
      <c r="O35" s="233"/>
      <c r="P35" s="193"/>
      <c r="Q35" s="229"/>
      <c r="R35" s="193"/>
      <c r="S35" s="229"/>
      <c r="T35" s="193"/>
    </row>
    <row r="36" spans="1:20" x14ac:dyDescent="0.2">
      <c r="A36" s="201" t="s">
        <v>355</v>
      </c>
      <c r="B36" s="178"/>
      <c r="C36" s="179"/>
      <c r="D36" s="179"/>
      <c r="E36" s="179"/>
      <c r="F36" s="179"/>
      <c r="G36" s="180" t="e">
        <f>G4+G7+G10+G11+G12+G14+G15+G16+G21+G24+G27+'Activity budget  D'!#REF!</f>
        <v>#REF!</v>
      </c>
      <c r="H36" s="181"/>
      <c r="I36" s="234">
        <f>+I4+I7+I10+I11+I12+I13+I14+I15+I16+I21+I24+I27+I28+I29+I30+'Activity budget  D'!H291</f>
        <v>1049425.5199999998</v>
      </c>
      <c r="J36" s="234"/>
      <c r="K36" s="296">
        <f t="shared" ref="K36:L36" si="22">+K4+K7+K10+K11+K12+K13+K14+K15+K16+K21+K24+K27+K28</f>
        <v>1118957</v>
      </c>
      <c r="L36" s="297">
        <f t="shared" si="22"/>
        <v>1118.9570000000001</v>
      </c>
      <c r="M36" s="296">
        <f>+M4+M7+M10+M11+M12+M13+M14+M15+M16+M21+M24+M27+M28</f>
        <v>1135038</v>
      </c>
      <c r="N36" s="297">
        <v>1119</v>
      </c>
      <c r="O36" s="296">
        <f>+O4+O7+O10+O11+O12+O13+O14+O15+O16+O21+O24+O27+O28</f>
        <v>1113358</v>
      </c>
      <c r="P36" s="297">
        <v>1119</v>
      </c>
      <c r="Q36" s="296">
        <f>+Q4+Q7+Q10+Q11+Q12+Q13+Q14+Q15+Q16+Q21+Q24+Q27+Q28</f>
        <v>746663.05</v>
      </c>
      <c r="R36" s="308">
        <f>+Q36/1000</f>
        <v>746.66305</v>
      </c>
      <c r="S36" s="296">
        <f>+S4+S7+S10+S11+S12+S13+S14+S15+S16+S21+S24+S27+S28</f>
        <v>1117978.3900000001</v>
      </c>
      <c r="T36" s="308">
        <f>+S36/1000</f>
        <v>1117.9783900000002</v>
      </c>
    </row>
    <row r="38" spans="1:20" ht="19.149999999999999" customHeight="1" x14ac:dyDescent="0.2"/>
    <row r="39" spans="1:20" ht="13.5" thickBot="1" x14ac:dyDescent="0.25">
      <c r="I39" s="238"/>
      <c r="J39" s="238"/>
      <c r="K39" s="518"/>
      <c r="L39" s="518"/>
      <c r="M39" s="518"/>
      <c r="N39" s="518"/>
      <c r="O39" s="518"/>
      <c r="P39" s="518"/>
      <c r="Q39" s="518"/>
      <c r="R39" s="518"/>
      <c r="S39" s="366"/>
      <c r="T39" s="367"/>
    </row>
    <row r="40" spans="1:20" ht="25.5" x14ac:dyDescent="0.2">
      <c r="A40" s="21" t="s">
        <v>151</v>
      </c>
      <c r="B40" s="150" t="s">
        <v>361</v>
      </c>
      <c r="C40" s="151" t="s">
        <v>360</v>
      </c>
      <c r="I40" s="238"/>
      <c r="J40" s="238"/>
      <c r="K40" s="362" t="s">
        <v>361</v>
      </c>
      <c r="L40" s="363" t="s">
        <v>360</v>
      </c>
      <c r="M40" s="362" t="s">
        <v>361</v>
      </c>
      <c r="N40" s="363" t="s">
        <v>360</v>
      </c>
      <c r="O40" s="362" t="s">
        <v>361</v>
      </c>
      <c r="P40" s="363" t="s">
        <v>360</v>
      </c>
      <c r="Q40" s="362" t="s">
        <v>361</v>
      </c>
      <c r="R40" s="363" t="s">
        <v>360</v>
      </c>
      <c r="S40" s="362" t="s">
        <v>361</v>
      </c>
      <c r="T40" s="363" t="s">
        <v>360</v>
      </c>
    </row>
    <row r="41" spans="1:20" x14ac:dyDescent="0.2">
      <c r="A41" s="517" t="s">
        <v>152</v>
      </c>
      <c r="B41" s="517"/>
      <c r="I41" s="238"/>
      <c r="J41" s="238"/>
      <c r="K41" s="364"/>
      <c r="L41" s="365"/>
      <c r="M41" s="364"/>
      <c r="N41" s="365"/>
      <c r="O41" s="364"/>
      <c r="P41" s="365"/>
      <c r="Q41" s="364"/>
      <c r="R41" s="365"/>
      <c r="S41" s="364"/>
      <c r="T41" s="365"/>
    </row>
    <row r="42" spans="1:20" ht="14.25" x14ac:dyDescent="0.2">
      <c r="A42" s="22" t="s">
        <v>153</v>
      </c>
      <c r="B42" s="152">
        <f>H18-B43-B44</f>
        <v>545.6</v>
      </c>
      <c r="C42" s="154">
        <f>B42/B45</f>
        <v>0.47034482758620694</v>
      </c>
      <c r="I42" s="238"/>
      <c r="J42" s="238"/>
      <c r="K42" s="366">
        <f>(K18/1000)-K43-K44</f>
        <v>661.86599999999999</v>
      </c>
      <c r="L42" s="367">
        <f>K42/$K$45</f>
        <v>0.47206142890970254</v>
      </c>
      <c r="M42" s="366">
        <f>(M18/1000)-M43-M44</f>
        <v>679.31700000000001</v>
      </c>
      <c r="N42" s="367">
        <f>M42/$O$45</f>
        <v>0.48450503518154586</v>
      </c>
      <c r="O42" s="366">
        <f>(O18/1000)-O43-O44</f>
        <v>661.8744999999999</v>
      </c>
      <c r="P42" s="367">
        <f>O42/$O$45</f>
        <v>0.47206462948559808</v>
      </c>
      <c r="Q42" s="366">
        <f>(Q18/1000)-Q43-Q44</f>
        <v>326.02810000000011</v>
      </c>
      <c r="R42" s="367">
        <f>Q42/$Q$45</f>
        <v>0.46834161455618195</v>
      </c>
      <c r="S42" s="366">
        <f>(S18/1000)-S43-S44</f>
        <v>662.36039000000005</v>
      </c>
      <c r="T42" s="367">
        <f>S42/$S$45</f>
        <v>0.47224752120996938</v>
      </c>
    </row>
    <row r="43" spans="1:20" ht="14.25" x14ac:dyDescent="0.2">
      <c r="A43" s="22" t="s">
        <v>154</v>
      </c>
      <c r="B43" s="152">
        <v>600</v>
      </c>
      <c r="C43" s="154">
        <f>B43/B45</f>
        <v>0.51724137931034486</v>
      </c>
      <c r="I43" s="238"/>
      <c r="J43" s="238"/>
      <c r="K43" s="366">
        <f>+'Activity budget  D'!D9/1000</f>
        <v>722.86099999999999</v>
      </c>
      <c r="L43" s="367">
        <f>K43/$K$45</f>
        <v>0.51556477680239876</v>
      </c>
      <c r="M43" s="366">
        <f>+'Activity budget  D'!F9/1000</f>
        <v>722.86099999999999</v>
      </c>
      <c r="N43" s="367">
        <f>M43/$O$45</f>
        <v>0.51556165124141962</v>
      </c>
      <c r="O43" s="366">
        <f>+'Activity budget  D'!G9/1000</f>
        <v>722.86099999999999</v>
      </c>
      <c r="P43" s="367">
        <f>O43/$O$45</f>
        <v>0.51556165124141962</v>
      </c>
      <c r="Q43" s="366">
        <f>+'Activity budget  D'!H9/1000</f>
        <v>361.43049999999999</v>
      </c>
      <c r="R43" s="367">
        <f>Q43/$Q$45</f>
        <v>0.51919740635806566</v>
      </c>
      <c r="S43" s="366">
        <f>+'Activity budget  D'!I9/1000</f>
        <v>722.86099999999999</v>
      </c>
      <c r="T43" s="367">
        <f>S43/$S$45</f>
        <v>0.51538304612291153</v>
      </c>
    </row>
    <row r="44" spans="1:20" ht="14.25" x14ac:dyDescent="0.2">
      <c r="A44" s="22" t="s">
        <v>155</v>
      </c>
      <c r="B44" s="152">
        <v>14.4</v>
      </c>
      <c r="C44" s="154">
        <f>B44/B45</f>
        <v>1.2413793103448275E-2</v>
      </c>
      <c r="I44" s="238"/>
      <c r="J44" s="238"/>
      <c r="K44" s="366">
        <f>+'Activity budget  D'!D10/1000</f>
        <v>17.349</v>
      </c>
      <c r="L44" s="367">
        <f>K44/$K$45</f>
        <v>1.2373794287898804E-2</v>
      </c>
      <c r="M44" s="366">
        <f>+'Activity budget  D'!F10/1000</f>
        <v>17.349</v>
      </c>
      <c r="N44" s="367">
        <f>M44/$O$45</f>
        <v>1.237371927298248E-2</v>
      </c>
      <c r="O44" s="366">
        <f>+'Activity budget  D'!G10/1000</f>
        <v>17.349</v>
      </c>
      <c r="P44" s="367">
        <f>O44/$O$45</f>
        <v>1.237371927298248E-2</v>
      </c>
      <c r="Q44" s="366">
        <f>+'Activity budget  D'!H10/1000</f>
        <v>8.6745000000000001</v>
      </c>
      <c r="R44" s="367">
        <f>Q44/$Q$45</f>
        <v>1.2460979085752421E-2</v>
      </c>
      <c r="S44" s="366">
        <f>+'Activity budget  D'!I10/1000</f>
        <v>17.349</v>
      </c>
      <c r="T44" s="367">
        <f>S44/$S$45</f>
        <v>1.2369432667119117E-2</v>
      </c>
    </row>
    <row r="45" spans="1:20" s="1" customFormat="1" ht="15" x14ac:dyDescent="0.2">
      <c r="A45" s="23" t="s">
        <v>152</v>
      </c>
      <c r="B45" s="164">
        <f>SUM(B42:B44)</f>
        <v>1160</v>
      </c>
      <c r="C45" s="165">
        <f>SUM(C42:C44)</f>
        <v>1</v>
      </c>
      <c r="F45" s="5"/>
      <c r="K45" s="368">
        <f t="shared" ref="K45:R45" si="23">SUM(K42:K44)</f>
        <v>1402.0759999999998</v>
      </c>
      <c r="L45" s="369">
        <f t="shared" si="23"/>
        <v>1</v>
      </c>
      <c r="M45" s="368">
        <f t="shared" ref="M45:N45" si="24">SUM(M42:M44)</f>
        <v>1419.5269999999998</v>
      </c>
      <c r="N45" s="369">
        <f t="shared" si="24"/>
        <v>1.012440405695948</v>
      </c>
      <c r="O45" s="368">
        <f t="shared" si="23"/>
        <v>1402.0844999999997</v>
      </c>
      <c r="P45" s="369">
        <f t="shared" si="23"/>
        <v>1.0000000000000002</v>
      </c>
      <c r="Q45" s="368">
        <f t="shared" si="23"/>
        <v>696.13310000000013</v>
      </c>
      <c r="R45" s="369">
        <f t="shared" si="23"/>
        <v>1</v>
      </c>
      <c r="S45" s="368">
        <f t="shared" ref="S45:T45" si="25">SUM(S42:S44)</f>
        <v>1402.5703900000001</v>
      </c>
      <c r="T45" s="369">
        <f t="shared" si="25"/>
        <v>1</v>
      </c>
    </row>
    <row r="46" spans="1:20" x14ac:dyDescent="0.2">
      <c r="I46" s="238"/>
      <c r="J46" s="238"/>
      <c r="K46" s="366"/>
      <c r="L46" s="367"/>
      <c r="M46" s="366"/>
      <c r="N46" s="367"/>
      <c r="O46" s="366"/>
      <c r="P46" s="367"/>
      <c r="Q46" s="366"/>
      <c r="R46" s="367"/>
      <c r="S46" s="366"/>
      <c r="T46" s="367"/>
    </row>
    <row r="47" spans="1:20" x14ac:dyDescent="0.2">
      <c r="A47" s="517" t="s">
        <v>156</v>
      </c>
      <c r="B47" s="517"/>
      <c r="I47" s="238"/>
      <c r="J47" s="238"/>
      <c r="K47" s="366"/>
      <c r="L47" s="367"/>
      <c r="M47" s="366"/>
      <c r="N47" s="367"/>
      <c r="O47" s="366"/>
      <c r="P47" s="367"/>
      <c r="Q47" s="366"/>
      <c r="R47" s="367"/>
      <c r="S47" s="366"/>
      <c r="T47" s="367"/>
    </row>
    <row r="48" spans="1:20" ht="14.25" x14ac:dyDescent="0.2">
      <c r="A48" s="22" t="s">
        <v>153</v>
      </c>
      <c r="B48" s="152">
        <f>H34-B49-B50</f>
        <v>736.6</v>
      </c>
      <c r="C48" s="154">
        <f>B48/B51</f>
        <v>0.54522575869726131</v>
      </c>
      <c r="I48" s="238"/>
      <c r="J48" s="238"/>
      <c r="K48" s="366">
        <f>(K34/1000)-K49-K50</f>
        <v>747.26600000000008</v>
      </c>
      <c r="L48" s="367">
        <f>K48/$K$51</f>
        <v>0.50237180297362793</v>
      </c>
      <c r="M48" s="366">
        <f>(M34/1000)-M49-M50</f>
        <v>747.26600000000008</v>
      </c>
      <c r="N48" s="367">
        <f>M48/$O$51</f>
        <v>0.50064518030880223</v>
      </c>
      <c r="O48" s="366">
        <f>(O34/1000)-O49-O50</f>
        <v>752.39599999999996</v>
      </c>
      <c r="P48" s="367">
        <f>O48/$O$51</f>
        <v>0.50408212214073911</v>
      </c>
      <c r="Q48" s="366">
        <f>(Q34/1000)-Q49-Q50</f>
        <v>750.87927000000002</v>
      </c>
      <c r="R48" s="367">
        <f>Q48/$Q$51</f>
        <v>0.66983925653122667</v>
      </c>
      <c r="S48" s="366">
        <f>(S34/1000)-S49-S50</f>
        <v>756.93439000000012</v>
      </c>
      <c r="T48" s="367">
        <f>S48/$S$51</f>
        <v>0.50558542987293298</v>
      </c>
    </row>
    <row r="49" spans="1:20" ht="14.25" x14ac:dyDescent="0.2">
      <c r="A49" s="22" t="s">
        <v>154</v>
      </c>
      <c r="B49" s="152">
        <v>600</v>
      </c>
      <c r="C49" s="154">
        <f>B49/B51</f>
        <v>0.44411547002220575</v>
      </c>
      <c r="I49" s="238"/>
      <c r="J49" s="238"/>
      <c r="K49" s="366">
        <f>+'Activity budget  D'!C9/1000</f>
        <v>722.86099999999999</v>
      </c>
      <c r="L49" s="367">
        <f>K49/$K$51</f>
        <v>0.48596481556677218</v>
      </c>
      <c r="M49" s="366">
        <f>+'Activity budget  D'!F9/1000</f>
        <v>722.86099999999999</v>
      </c>
      <c r="N49" s="367">
        <f>M49/$O$51</f>
        <v>0.48429458276330123</v>
      </c>
      <c r="O49" s="366">
        <f>+'Activity budget  D'!G9/1000</f>
        <v>722.86099999999999</v>
      </c>
      <c r="P49" s="367">
        <f>O49/$O$51</f>
        <v>0.48429458276330123</v>
      </c>
      <c r="Q49" s="366">
        <f>+'Activity budget  D'!H9/1000</f>
        <v>361.43049999999999</v>
      </c>
      <c r="R49" s="367">
        <f>Q49/$Q$51</f>
        <v>0.32242245468796804</v>
      </c>
      <c r="S49" s="366">
        <f>+'Activity budget  D'!I9/1000</f>
        <v>722.86099999999999</v>
      </c>
      <c r="T49" s="367">
        <f>S49/$S$51</f>
        <v>0.48282650947247641</v>
      </c>
    </row>
    <row r="50" spans="1:20" ht="14.25" x14ac:dyDescent="0.2">
      <c r="A50" s="22" t="s">
        <v>155</v>
      </c>
      <c r="B50" s="152">
        <v>14.4</v>
      </c>
      <c r="C50" s="154">
        <f>B50/B51</f>
        <v>1.0658771280532938E-2</v>
      </c>
      <c r="I50" s="238"/>
      <c r="J50" s="238"/>
      <c r="K50" s="366">
        <f>+'Activity budget  D'!C10/1000</f>
        <v>17.349</v>
      </c>
      <c r="L50" s="367">
        <f>K50/$K$51</f>
        <v>1.1663381459600022E-2</v>
      </c>
      <c r="M50" s="366">
        <f>+'Activity budget  D'!F10/1000</f>
        <v>17.349</v>
      </c>
      <c r="N50" s="367">
        <f>M50/$O$51</f>
        <v>1.1623295095959683E-2</v>
      </c>
      <c r="O50" s="366">
        <f>+'Activity budget  D'!G10/1000</f>
        <v>17.349</v>
      </c>
      <c r="P50" s="367">
        <f>O50/$O$51</f>
        <v>1.1623295095959683E-2</v>
      </c>
      <c r="Q50" s="366">
        <f>+'Activity budget  D'!H10/1000</f>
        <v>8.6745000000000001</v>
      </c>
      <c r="R50" s="367">
        <f>Q50/$Q$51</f>
        <v>7.7382887808051031E-3</v>
      </c>
      <c r="S50" s="366">
        <f>+'Activity budget  D'!I10/1000</f>
        <v>17.349</v>
      </c>
      <c r="T50" s="367">
        <f>S50/$S$51</f>
        <v>1.158806065459057E-2</v>
      </c>
    </row>
    <row r="51" spans="1:20" ht="15" thickBot="1" x14ac:dyDescent="0.25">
      <c r="A51" s="23" t="s">
        <v>156</v>
      </c>
      <c r="B51" s="153">
        <f>SUM(B48:B50)</f>
        <v>1351</v>
      </c>
      <c r="C51" s="155">
        <f>SUM(C48:C50)</f>
        <v>1</v>
      </c>
      <c r="I51" s="238"/>
      <c r="J51" s="238"/>
      <c r="K51" s="370">
        <f t="shared" ref="K51:R51" si="26">SUM(K48:K50)</f>
        <v>1487.4759999999999</v>
      </c>
      <c r="L51" s="371">
        <f t="shared" si="26"/>
        <v>1.0000000000000002</v>
      </c>
      <c r="M51" s="370">
        <f t="shared" ref="M51:N51" si="27">SUM(M48:M50)</f>
        <v>1487.4759999999999</v>
      </c>
      <c r="N51" s="371">
        <f t="shared" si="27"/>
        <v>0.99656305816806323</v>
      </c>
      <c r="O51" s="370">
        <f t="shared" si="26"/>
        <v>1492.606</v>
      </c>
      <c r="P51" s="371">
        <f t="shared" si="26"/>
        <v>1</v>
      </c>
      <c r="Q51" s="370">
        <f t="shared" si="26"/>
        <v>1120.9842700000002</v>
      </c>
      <c r="R51" s="371">
        <f t="shared" si="26"/>
        <v>0.99999999999999978</v>
      </c>
      <c r="S51" s="370">
        <f t="shared" ref="S51:T51" si="28">SUM(S48:S50)</f>
        <v>1497.1443900000002</v>
      </c>
      <c r="T51" s="371">
        <f t="shared" si="28"/>
        <v>1</v>
      </c>
    </row>
  </sheetData>
  <mergeCells count="9">
    <mergeCell ref="S2:T2"/>
    <mergeCell ref="A41:B41"/>
    <mergeCell ref="A47:B47"/>
    <mergeCell ref="P39:R39"/>
    <mergeCell ref="K39:O39"/>
    <mergeCell ref="K2:L2"/>
    <mergeCell ref="O2:P2"/>
    <mergeCell ref="Q2:R2"/>
    <mergeCell ref="M2:N2"/>
  </mergeCells>
  <phoneticPr fontId="12" type="noConversion"/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Activity budget  D</vt:lpstr>
      <vt:lpstr>Budget 2018-Summary</vt:lpstr>
      <vt:lpstr>Annex 2</vt:lpstr>
      <vt:lpstr>'Activity budget  D'!Impression_des_titres</vt:lpstr>
      <vt:lpstr>'Activity budget  D'!Zone_d_impression</vt:lpstr>
      <vt:lpstr>'Annex 2'!Zone_d_impression</vt:lpstr>
      <vt:lpstr>'Budget 2018-Summary'!Zone_d_impression</vt:lpstr>
    </vt:vector>
  </TitlesOfParts>
  <Company>NAT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Ring Rózsa</dc:creator>
  <cp:lastModifiedBy>Frederique</cp:lastModifiedBy>
  <cp:lastPrinted>2018-10-25T06:13:12Z</cp:lastPrinted>
  <dcterms:created xsi:type="dcterms:W3CDTF">2009-09-20T13:47:01Z</dcterms:created>
  <dcterms:modified xsi:type="dcterms:W3CDTF">2018-11-12T13:55:38Z</dcterms:modified>
</cp:coreProperties>
</file>